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5680" yWindow="100" windowWidth="21600" windowHeight="14460" tabRatio="799" activeTab="1"/>
  </bookViews>
  <sheets>
    <sheet name="Notes" sheetId="11" r:id="rId1"/>
    <sheet name="Journal" sheetId="1" r:id="rId2"/>
    <sheet name="Journal USD" sheetId="18" r:id="rId3"/>
    <sheet name="Balance Sheet" sheetId="2" r:id="rId4"/>
    <sheet name="Income Statement" sheetId="3" r:id="rId5"/>
    <sheet name="Cash Flow" sheetId="4" r:id="rId6"/>
    <sheet name="CB people" sheetId="16" r:id="rId7"/>
    <sheet name="P&amp;L by Cert" sheetId="17" r:id="rId8"/>
    <sheet name="Budget 2014" sheetId="13" r:id="rId9"/>
    <sheet name="Off-book expenses" sheetId="9" r:id="rId10"/>
    <sheet name="Historical" sheetId="14" r:id="rId11"/>
  </sheets>
  <definedNames>
    <definedName name="_xlnm._FilterDatabase" localSheetId="1" hidden="1">Journal!$A$6:$I$172</definedName>
    <definedName name="_xlnm._FilterDatabase" localSheetId="2" hidden="1">'Journal USD'!$G$5:$G$35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5" i="2"/>
  <c r="D9"/>
  <c r="D7"/>
  <c r="D8"/>
  <c r="E10"/>
  <c r="F11"/>
  <c r="D17"/>
  <c r="D16"/>
  <c r="E18"/>
  <c r="F19"/>
  <c r="G14"/>
  <c r="E17" i="13"/>
  <c r="E31"/>
  <c r="E33"/>
  <c r="E6" i="4"/>
  <c r="D7"/>
  <c r="D8"/>
  <c r="D9"/>
  <c r="D13"/>
  <c r="D15"/>
  <c r="D16"/>
  <c r="D17"/>
  <c r="D18"/>
  <c r="D20"/>
  <c r="D21"/>
  <c r="D22"/>
  <c r="D23"/>
  <c r="D24"/>
  <c r="D25"/>
  <c r="D11"/>
  <c r="D14"/>
  <c r="D19"/>
  <c r="D10"/>
  <c r="E27"/>
  <c r="E28"/>
  <c r="F28"/>
  <c r="K7" i="16"/>
  <c r="E10" i="14"/>
  <c r="K10"/>
  <c r="E9"/>
  <c r="K9"/>
  <c r="E8"/>
  <c r="K8"/>
  <c r="E7"/>
  <c r="E2"/>
  <c r="K2"/>
  <c r="E3"/>
  <c r="K3"/>
  <c r="E4"/>
  <c r="K4"/>
  <c r="E5"/>
  <c r="K5"/>
  <c r="E6"/>
  <c r="K6"/>
  <c r="K7"/>
  <c r="D7" i="3"/>
  <c r="D8"/>
  <c r="D9"/>
  <c r="D10"/>
  <c r="D48"/>
  <c r="D49"/>
  <c r="D50"/>
  <c r="D51"/>
  <c r="D52"/>
  <c r="D53"/>
  <c r="D11"/>
  <c r="D47"/>
  <c r="D54"/>
  <c r="D56"/>
  <c r="D57"/>
  <c r="D58"/>
  <c r="D13"/>
  <c r="D14"/>
  <c r="D15"/>
  <c r="D16"/>
  <c r="D18"/>
  <c r="D19"/>
  <c r="D20"/>
  <c r="D21"/>
  <c r="D24"/>
  <c r="D25"/>
  <c r="D62"/>
  <c r="D63"/>
  <c r="D64"/>
  <c r="D65"/>
  <c r="D66"/>
  <c r="D67"/>
  <c r="D68"/>
  <c r="D69"/>
  <c r="D70"/>
  <c r="D71"/>
  <c r="D72"/>
  <c r="D73"/>
  <c r="D74"/>
  <c r="D75"/>
  <c r="D29"/>
  <c r="D61"/>
  <c r="D76"/>
  <c r="D77"/>
  <c r="D78"/>
  <c r="D79"/>
  <c r="D30"/>
  <c r="D31"/>
  <c r="D32"/>
  <c r="D33"/>
  <c r="D34"/>
  <c r="D35"/>
  <c r="D36"/>
  <c r="D37"/>
  <c r="D38"/>
  <c r="D39"/>
  <c r="E80"/>
  <c r="D87"/>
  <c r="D88"/>
  <c r="D89"/>
  <c r="D90"/>
  <c r="D91"/>
  <c r="D92"/>
  <c r="D94"/>
  <c r="D95"/>
  <c r="D96"/>
  <c r="D97"/>
  <c r="D100"/>
  <c r="D104"/>
  <c r="D105"/>
  <c r="D106"/>
  <c r="D107"/>
  <c r="D108"/>
  <c r="D109"/>
  <c r="D110"/>
  <c r="D111"/>
  <c r="D112"/>
  <c r="D17"/>
  <c r="D27"/>
  <c r="D26"/>
  <c r="E40"/>
  <c r="D55"/>
  <c r="D12"/>
  <c r="E22"/>
  <c r="E42"/>
  <c r="D102"/>
  <c r="D101"/>
  <c r="E113"/>
  <c r="D93"/>
  <c r="E98"/>
  <c r="E115"/>
  <c r="E59"/>
  <c r="E81"/>
  <c r="F42"/>
  <c r="D96" i="1"/>
  <c r="D97"/>
  <c r="D98"/>
  <c r="B178"/>
  <c r="C107"/>
  <c r="C178"/>
  <c r="D178"/>
  <c r="I11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I10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7"/>
  <c r="I109"/>
  <c r="I110"/>
  <c r="I111"/>
  <c r="I112"/>
  <c r="I113"/>
  <c r="I114"/>
  <c r="I115"/>
  <c r="I116"/>
  <c r="I118"/>
  <c r="I119"/>
  <c r="I120"/>
  <c r="I121"/>
  <c r="I122"/>
  <c r="I123"/>
  <c r="I106"/>
  <c r="D123"/>
  <c r="D124"/>
  <c r="D125"/>
  <c r="D126"/>
  <c r="D127"/>
  <c r="D128"/>
  <c r="D129"/>
  <c r="D130"/>
  <c r="D131"/>
  <c r="D132"/>
  <c r="D133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I140"/>
  <c r="I139"/>
  <c r="I138"/>
  <c r="I137"/>
  <c r="I132"/>
  <c r="I133"/>
  <c r="I136"/>
  <c r="I126"/>
  <c r="I127"/>
  <c r="B177"/>
  <c r="C177"/>
  <c r="D177"/>
  <c r="D172"/>
  <c r="I124"/>
  <c r="I125"/>
  <c r="I128"/>
  <c r="I129"/>
  <c r="I130"/>
  <c r="I131"/>
  <c r="I134"/>
  <c r="I135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D188"/>
  <c r="C188"/>
  <c r="B188"/>
  <c r="D183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184"/>
  <c r="D185"/>
  <c r="D186"/>
  <c r="B187"/>
  <c r="C187"/>
  <c r="D187"/>
  <c r="C191"/>
  <c r="B191"/>
  <c r="B192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C190"/>
  <c r="B190"/>
  <c r="C189"/>
  <c r="B189"/>
  <c r="C235"/>
  <c r="B235"/>
  <c r="B183"/>
  <c r="B184"/>
  <c r="B185"/>
  <c r="B186"/>
  <c r="B220"/>
  <c r="B221"/>
  <c r="B222"/>
  <c r="B223"/>
  <c r="B224"/>
  <c r="B225"/>
  <c r="B226"/>
  <c r="B227"/>
  <c r="B228"/>
  <c r="B229"/>
  <c r="B230"/>
  <c r="B231"/>
  <c r="B232"/>
  <c r="B233"/>
  <c r="B234"/>
  <c r="B236"/>
  <c r="B181"/>
  <c r="B174"/>
  <c r="C174"/>
  <c r="D174"/>
  <c r="B176"/>
  <c r="C176"/>
  <c r="C183"/>
  <c r="C184"/>
  <c r="C185"/>
  <c r="C186"/>
  <c r="C220"/>
  <c r="C221"/>
  <c r="C222"/>
  <c r="C223"/>
  <c r="C224"/>
  <c r="C225"/>
  <c r="C226"/>
  <c r="C227"/>
  <c r="C228"/>
  <c r="C229"/>
  <c r="C230"/>
  <c r="C231"/>
  <c r="C232"/>
  <c r="C233"/>
  <c r="C234"/>
  <c r="C236"/>
  <c r="C181"/>
  <c r="D179"/>
  <c r="D6" i="18"/>
  <c r="D7"/>
  <c r="D8"/>
  <c r="D9"/>
  <c r="D10"/>
  <c r="D11"/>
  <c r="D12"/>
  <c r="D13"/>
  <c r="D14"/>
  <c r="D15"/>
  <c r="D16"/>
  <c r="D17"/>
  <c r="D18"/>
  <c r="D19"/>
  <c r="D20"/>
  <c r="I46"/>
  <c r="I4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C59"/>
  <c r="B5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C52"/>
  <c r="C53"/>
  <c r="C54"/>
  <c r="C51"/>
  <c r="B52"/>
  <c r="B53"/>
  <c r="B54"/>
  <c r="B51"/>
  <c r="B49"/>
  <c r="C49"/>
  <c r="D54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59"/>
  <c r="D60"/>
  <c r="D61"/>
  <c r="D62"/>
  <c r="D63"/>
  <c r="C111"/>
  <c r="B111"/>
  <c r="D49"/>
  <c r="D55"/>
  <c r="D53"/>
  <c r="D52"/>
  <c r="B57"/>
  <c r="C57"/>
  <c r="C5" i="11"/>
  <c r="C6"/>
  <c r="C7"/>
  <c r="C8"/>
  <c r="D3"/>
  <c r="D4"/>
  <c r="D5"/>
  <c r="D6"/>
  <c r="D7"/>
  <c r="D8"/>
  <c r="D11"/>
  <c r="D15"/>
  <c r="C5" i="9"/>
  <c r="D19" i="17"/>
  <c r="D18"/>
  <c r="D17"/>
  <c r="D16"/>
  <c r="B19"/>
  <c r="B17"/>
  <c r="B18"/>
  <c r="B16"/>
  <c r="D13"/>
  <c r="D12"/>
  <c r="D11"/>
  <c r="D10"/>
  <c r="D9"/>
  <c r="D8"/>
  <c r="C13"/>
  <c r="C12"/>
  <c r="C11"/>
  <c r="C10"/>
  <c r="C9"/>
  <c r="C8"/>
  <c r="B13"/>
  <c r="B12"/>
  <c r="B11"/>
  <c r="B10"/>
  <c r="B9"/>
  <c r="B8"/>
  <c r="E16"/>
  <c r="E17"/>
  <c r="E18"/>
  <c r="E19"/>
  <c r="E20"/>
  <c r="F19"/>
  <c r="F18"/>
  <c r="F17"/>
  <c r="F16"/>
  <c r="F13"/>
  <c r="E13"/>
  <c r="F12"/>
  <c r="E12"/>
  <c r="E11"/>
  <c r="F11"/>
  <c r="E10"/>
  <c r="F10"/>
  <c r="E9"/>
  <c r="F9"/>
  <c r="E8"/>
  <c r="F8"/>
</calcChain>
</file>

<file path=xl/sharedStrings.xml><?xml version="1.0" encoding="utf-8"?>
<sst xmlns="http://schemas.openxmlformats.org/spreadsheetml/2006/main" count="1230" uniqueCount="546">
  <si>
    <t>Project Management Association of Canada /
 Association de gestion de projet du Canada</t>
    <phoneticPr fontId="6" type="noConversion"/>
  </si>
  <si>
    <t>IPMA</t>
    <phoneticPr fontId="6" type="noConversion"/>
  </si>
  <si>
    <t>PayPal</t>
    <phoneticPr fontId="6" type="noConversion"/>
  </si>
  <si>
    <t>PayPal fee (€44@C$1=€0.6471)</t>
    <phoneticPr fontId="6" type="noConversion"/>
  </si>
  <si>
    <t>Bank Charges</t>
    <phoneticPr fontId="6" type="noConversion"/>
  </si>
  <si>
    <t>annual fee invoice 160262 (€1463)</t>
    <phoneticPr fontId="6" type="noConversion"/>
  </si>
  <si>
    <t>Travel expenses for Thales assessments</t>
    <phoneticPr fontId="6" type="noConversion"/>
  </si>
  <si>
    <t>PayPal</t>
    <phoneticPr fontId="6" type="noConversion"/>
  </si>
  <si>
    <t>Certifications – PMAC Thinking Assessor fee</t>
    <phoneticPr fontId="6" type="noConversion"/>
  </si>
  <si>
    <t>Certifications – IPMA-B Assessor fee</t>
    <phoneticPr fontId="6" type="noConversion"/>
  </si>
  <si>
    <t>Membership Package printing/mailing (incl. env+postage), 200x$4.30</t>
  </si>
  <si>
    <t>Journal</t>
  </si>
  <si>
    <t>domain registration</t>
  </si>
  <si>
    <t>address; document design</t>
  </si>
  <si>
    <t>Membership</t>
    <phoneticPr fontId="6" type="noConversion"/>
  </si>
  <si>
    <t>Transfer to Canadian funds</t>
    <phoneticPr fontId="6" type="noConversion"/>
  </si>
  <si>
    <t>Alex Jalalian</t>
    <phoneticPr fontId="6" type="noConversion"/>
  </si>
  <si>
    <t>prepay some travel expenses</t>
    <phoneticPr fontId="6" type="noConversion"/>
  </si>
  <si>
    <t>deposit for ICB4 translation; facture AGPC20160226</t>
    <phoneticPr fontId="6" type="noConversion"/>
  </si>
  <si>
    <t>Bank</t>
    <phoneticPr fontId="6" type="noConversion"/>
  </si>
  <si>
    <t>Hélène Deshaies</t>
    <phoneticPr fontId="6" type="noConversion"/>
  </si>
  <si>
    <t>Banking - Account transfers</t>
    <phoneticPr fontId="6" type="noConversion"/>
  </si>
  <si>
    <t>Certifications – PMAC Sr.APM Income</t>
    <phoneticPr fontId="6" type="noConversion"/>
  </si>
  <si>
    <t>N/A</t>
    <phoneticPr fontId="6" type="noConversion"/>
  </si>
  <si>
    <t>Certifications – PMAC EPC Assessor fee</t>
    <phoneticPr fontId="6" type="noConversion"/>
  </si>
  <si>
    <t>IPMA Certification - #C</t>
    <phoneticPr fontId="6" type="noConversion"/>
  </si>
  <si>
    <t xml:space="preserve">bank fees; </t>
  </si>
  <si>
    <t>Website</t>
    <phoneticPr fontId="6" type="noConversion"/>
  </si>
  <si>
    <t>supplier, other</t>
  </si>
  <si>
    <t>Totals by Account</t>
    <phoneticPr fontId="6" type="noConversion"/>
  </si>
  <si>
    <t>Agile Cert Exam (class discount)</t>
    <phoneticPr fontId="6" type="noConversion"/>
  </si>
  <si>
    <t>mileage expense fund (not counting CoD)</t>
    <phoneticPr fontId="6" type="noConversion"/>
  </si>
  <si>
    <t>Level D</t>
    <phoneticPr fontId="6" type="noConversion"/>
  </si>
  <si>
    <t>Unknown</t>
    <phoneticPr fontId="6" type="noConversion"/>
  </si>
  <si>
    <t>Count Cert fees</t>
    <phoneticPr fontId="6" type="noConversion"/>
  </si>
  <si>
    <t>Count Assess fees</t>
    <phoneticPr fontId="6" type="noConversion"/>
  </si>
  <si>
    <t>Daniel O'Brien</t>
    <phoneticPr fontId="6" type="noConversion"/>
  </si>
  <si>
    <t>Certifications – IPMA-A income</t>
    <phoneticPr fontId="6" type="noConversion"/>
  </si>
  <si>
    <t>Supplies</t>
    <phoneticPr fontId="6" type="noConversion"/>
  </si>
  <si>
    <t>Closing Balance</t>
  </si>
  <si>
    <t>Bank account</t>
  </si>
  <si>
    <t>Bank</t>
    <phoneticPr fontId="6" type="noConversion"/>
  </si>
  <si>
    <t>BMO</t>
    <phoneticPr fontId="6" type="noConversion"/>
  </si>
  <si>
    <t>eTransfer fee</t>
    <phoneticPr fontId="6" type="noConversion"/>
  </si>
  <si>
    <t>Bank Charges</t>
    <phoneticPr fontId="6" type="noConversion"/>
  </si>
  <si>
    <t>Alex Jalalian</t>
    <phoneticPr fontId="6" type="noConversion"/>
  </si>
  <si>
    <t>eTransfer didn't work</t>
    <phoneticPr fontId="6" type="noConversion"/>
  </si>
  <si>
    <t>Travel</t>
    <phoneticPr fontId="6" type="noConversion"/>
  </si>
  <si>
    <t>Jill Boutin</t>
    <phoneticPr fontId="6" type="noConversion"/>
  </si>
  <si>
    <t>Membership</t>
    <phoneticPr fontId="6" type="noConversion"/>
  </si>
  <si>
    <t>PayPal</t>
    <phoneticPr fontId="6" type="noConversion"/>
  </si>
  <si>
    <t>John Mitsilios</t>
    <phoneticPr fontId="6" type="noConversion"/>
  </si>
  <si>
    <t>Alex Jalalian (cash)</t>
    <phoneticPr fontId="6" type="noConversion"/>
  </si>
  <si>
    <t>JobWings</t>
    <phoneticPr fontId="6" type="noConversion"/>
  </si>
  <si>
    <t>1/4 of job posting fee</t>
    <phoneticPr fontId="6" type="noConversion"/>
  </si>
  <si>
    <t>For MA</t>
    <phoneticPr fontId="6" type="noConversion"/>
  </si>
  <si>
    <t>For CB</t>
    <phoneticPr fontId="6" type="noConversion"/>
  </si>
  <si>
    <t>Out</t>
    <phoneticPr fontId="6" type="noConversion"/>
  </si>
  <si>
    <t>Kevin? Keith?</t>
  </si>
  <si>
    <t>Membership</t>
    <phoneticPr fontId="6" type="noConversion"/>
  </si>
  <si>
    <t>Membership</t>
    <phoneticPr fontId="6" type="noConversion"/>
  </si>
  <si>
    <t>What</t>
    <phoneticPr fontId="6" type="noConversion"/>
  </si>
  <si>
    <t>IPMA Fee (Euro)</t>
    <phoneticPr fontId="6" type="noConversion"/>
  </si>
  <si>
    <t>#members</t>
    <phoneticPr fontId="6" type="noConversion"/>
  </si>
  <si>
    <t>Certifications – IPMA-PMC Assessor fee</t>
    <phoneticPr fontId="6" type="noConversion"/>
  </si>
  <si>
    <t>Certifications – IPMA-B Assessor fee</t>
    <phoneticPr fontId="6" type="noConversion"/>
  </si>
  <si>
    <t>IPMA</t>
    <phoneticPr fontId="6" type="noConversion"/>
  </si>
  <si>
    <t xml:space="preserve">- Primary revenue sources are PMAC certifications, 4LC certifications, and memberships </t>
    <phoneticPr fontId="6" type="noConversion"/>
  </si>
  <si>
    <t xml:space="preserve">Primary expenses are IPMA fees, assessor fees, </t>
    <phoneticPr fontId="6" type="noConversion"/>
  </si>
  <si>
    <t>Membership (net)</t>
    <phoneticPr fontId="6" type="noConversion"/>
  </si>
  <si>
    <t>Certifications – IPMA</t>
    <phoneticPr fontId="6" type="noConversion"/>
  </si>
  <si>
    <t>Other</t>
    <phoneticPr fontId="6" type="noConversion"/>
  </si>
  <si>
    <t>Certifications – IPMA CB fees/ expenses</t>
    <phoneticPr fontId="6" type="noConversion"/>
  </si>
  <si>
    <t>membership discounts (complete guess)</t>
  </si>
  <si>
    <t>Assess-2</t>
    <phoneticPr fontId="6" type="noConversion"/>
  </si>
  <si>
    <t>Alex</t>
    <phoneticPr fontId="6" type="noConversion"/>
  </si>
  <si>
    <t>Banking - Account transfers</t>
  </si>
  <si>
    <t>Current earnings</t>
    <phoneticPr fontId="6" type="noConversion"/>
  </si>
  <si>
    <t>Awards</t>
  </si>
  <si>
    <t>Cert.APM certificate/letter production, printing, mailing</t>
  </si>
  <si>
    <t>Balance Sheet</t>
  </si>
  <si>
    <t>Certifications – IPMA-B Income</t>
    <phoneticPr fontId="6" type="noConversion"/>
  </si>
  <si>
    <t>Notes to Financial Statements</t>
    <phoneticPr fontId="6" type="noConversion"/>
  </si>
  <si>
    <t>has chosen not to register for, nor collect, GST/HST.</t>
  </si>
  <si>
    <t>Level B</t>
    <phoneticPr fontId="6" type="noConversion"/>
  </si>
  <si>
    <t>Membership</t>
    <phoneticPr fontId="6" type="noConversion"/>
  </si>
  <si>
    <t>Hassan Kassabaki</t>
  </si>
  <si>
    <t>include USD transactions</t>
    <phoneticPr fontId="6" type="noConversion"/>
  </si>
  <si>
    <t>Project Management Association of Canada /
 Association de gestion de projet du Canada</t>
    <phoneticPr fontId="6" type="noConversion"/>
  </si>
  <si>
    <t>Certifications – IPMA-D Income</t>
    <phoneticPr fontId="6" type="noConversion"/>
  </si>
  <si>
    <t>Alex Jalalian (partial)</t>
    <phoneticPr fontId="6" type="noConversion"/>
  </si>
  <si>
    <t>remainder of expenses</t>
    <phoneticPr fontId="6" type="noConversion"/>
  </si>
  <si>
    <t>Travel</t>
    <phoneticPr fontId="6" type="noConversion"/>
  </si>
  <si>
    <t>Alex Jalalian</t>
    <phoneticPr fontId="6" type="noConversion"/>
  </si>
  <si>
    <t>retroactive travel expenses for attending 9 CoDs</t>
    <phoneticPr fontId="6" type="noConversion"/>
  </si>
  <si>
    <t>Grant Kerr</t>
    <phoneticPr fontId="6" type="noConversion"/>
  </si>
  <si>
    <t>Note from BMO: our daily payment limit for Debit card or eTransfer is $2000. (12Nov2016)</t>
    <phoneticPr fontId="6" type="noConversion"/>
  </si>
  <si>
    <t>Banking - Account transfers</t>
    <phoneticPr fontId="6" type="noConversion"/>
  </si>
  <si>
    <t>PMAC-AGPC</t>
    <phoneticPr fontId="6" type="noConversion"/>
  </si>
  <si>
    <t>Certifications – PMAC Thinking Income</t>
    <phoneticPr fontId="6" type="noConversion"/>
  </si>
  <si>
    <t>Certifications – PMAC Thinking Income</t>
    <phoneticPr fontId="6" type="noConversion"/>
  </si>
  <si>
    <t>* Convert USD to CAD at</t>
    <phoneticPr fontId="6" type="noConversion"/>
  </si>
  <si>
    <t>PayPal USD</t>
    <phoneticPr fontId="6" type="noConversion"/>
  </si>
  <si>
    <t>Balance</t>
  </si>
  <si>
    <t>Who</t>
  </si>
  <si>
    <t>Why</t>
  </si>
  <si>
    <t>Accreditations</t>
  </si>
  <si>
    <t>new courses</t>
  </si>
  <si>
    <t>Banking - conversion gain/loss</t>
    <phoneticPr fontId="6" type="noConversion"/>
  </si>
  <si>
    <t>Revenue</t>
  </si>
  <si>
    <t>Isil Flynn</t>
    <phoneticPr fontId="6" type="noConversion"/>
  </si>
  <si>
    <t>Sara Fouwaaz</t>
    <phoneticPr fontId="6" type="noConversion"/>
  </si>
  <si>
    <t>Membership</t>
  </si>
  <si>
    <t>Account</t>
  </si>
  <si>
    <t>Supplies</t>
    <phoneticPr fontId="6" type="noConversion"/>
  </si>
  <si>
    <t>Certifications – PMAC EPC Income</t>
    <phoneticPr fontId="6" type="noConversion"/>
  </si>
  <si>
    <t>incorporation</t>
  </si>
  <si>
    <t>Donations in kind</t>
    <phoneticPr fontId="6" type="noConversion"/>
  </si>
  <si>
    <t>include USD</t>
    <phoneticPr fontId="6" type="noConversion"/>
  </si>
  <si>
    <t>Certifications – IPMA-B Cert fee</t>
    <phoneticPr fontId="6" type="noConversion"/>
  </si>
  <si>
    <t xml:space="preserve"> - We should reimburse more of Kevin's expenses, especially since he is the singe greatest income generator</t>
    <phoneticPr fontId="6" type="noConversion"/>
  </si>
  <si>
    <t>Certifications – IPMA-D Cert fee</t>
    <phoneticPr fontId="6" type="noConversion"/>
  </si>
  <si>
    <t>Year's starting balance</t>
  </si>
  <si>
    <t>Transfer to Canadian funds</t>
    <phoneticPr fontId="6" type="noConversion"/>
  </si>
  <si>
    <t>96.80 from USD account</t>
    <phoneticPr fontId="6" type="noConversion"/>
  </si>
  <si>
    <t>Certifications – IPMA-C Cert fee</t>
    <phoneticPr fontId="6" type="noConversion"/>
  </si>
  <si>
    <t>Incorporation</t>
    <phoneticPr fontId="6" type="noConversion"/>
  </si>
  <si>
    <t>Bank</t>
    <phoneticPr fontId="6" type="noConversion"/>
  </si>
  <si>
    <t>Website</t>
    <phoneticPr fontId="6" type="noConversion"/>
  </si>
  <si>
    <t>IPMA</t>
    <phoneticPr fontId="6" type="noConversion"/>
  </si>
  <si>
    <t>wire payment didn't go through</t>
    <phoneticPr fontId="6" type="noConversion"/>
  </si>
  <si>
    <t>IPMA MA Fees</t>
    <phoneticPr fontId="6" type="noConversion"/>
  </si>
  <si>
    <t>Alex Jalalian</t>
    <phoneticPr fontId="6" type="noConversion"/>
  </si>
  <si>
    <t>BMO</t>
    <phoneticPr fontId="6" type="noConversion"/>
  </si>
  <si>
    <t>Bank</t>
    <phoneticPr fontId="6" type="noConversion"/>
  </si>
  <si>
    <t>Certifications – IPMA-B Assessor fee</t>
  </si>
  <si>
    <t>Certifications – IPMA-C Assessor fee</t>
  </si>
  <si>
    <t>4*LvlB assessments</t>
    <phoneticPr fontId="6" type="noConversion"/>
  </si>
  <si>
    <t>1*LvlC assessment</t>
    <phoneticPr fontId="6" type="noConversion"/>
  </si>
  <si>
    <t>Publications</t>
    <phoneticPr fontId="6" type="noConversion"/>
  </si>
  <si>
    <t>Comments</t>
    <phoneticPr fontId="6" type="noConversion"/>
  </si>
  <si>
    <t>Net Income</t>
    <phoneticPr fontId="6" type="noConversion"/>
  </si>
  <si>
    <t>Other Inc (net)</t>
    <phoneticPr fontId="6" type="noConversion"/>
  </si>
  <si>
    <t>PMC</t>
    <phoneticPr fontId="6" type="noConversion"/>
  </si>
  <si>
    <t>PPMC</t>
    <phoneticPr fontId="6" type="noConversion"/>
  </si>
  <si>
    <t>N/A</t>
    <phoneticPr fontId="6" type="noConversion"/>
  </si>
  <si>
    <t>Income Statement</t>
  </si>
  <si>
    <t>#Cert</t>
    <phoneticPr fontId="6" type="noConversion"/>
  </si>
  <si>
    <t>PayPal</t>
  </si>
  <si>
    <t>Job board</t>
    <phoneticPr fontId="6" type="noConversion"/>
  </si>
  <si>
    <t>Date</t>
  </si>
  <si>
    <t>Meetings</t>
  </si>
  <si>
    <t>Travel</t>
  </si>
  <si>
    <t>Project Management Association of Canada Certification Body</t>
    <phoneticPr fontId="6" type="noConversion"/>
  </si>
  <si>
    <t>Ali Othman</t>
    <phoneticPr fontId="6" type="noConversion"/>
  </si>
  <si>
    <t>Critical Thinking fee</t>
    <phoneticPr fontId="6" type="noConversion"/>
  </si>
  <si>
    <t>There are still a lot (~$10-20,000) of in-kind expenses/ donations</t>
    <phoneticPr fontId="6" type="noConversion"/>
  </si>
  <si>
    <t>Certifications – IPMA-PMC Income</t>
    <phoneticPr fontId="6" type="noConversion"/>
  </si>
  <si>
    <t>January 1, 2012 - December 31, 2012</t>
    <phoneticPr fontId="6" type="noConversion"/>
  </si>
  <si>
    <t>book, project</t>
    <phoneticPr fontId="6" type="noConversion"/>
  </si>
  <si>
    <t>Liabilities</t>
  </si>
  <si>
    <t>Assets</t>
    <phoneticPr fontId="6" type="noConversion"/>
  </si>
  <si>
    <t>Website</t>
    <phoneticPr fontId="6" type="noConversion"/>
  </si>
  <si>
    <t>PayPal</t>
    <phoneticPr fontId="6" type="noConversion"/>
  </si>
  <si>
    <t>Membership</t>
    <phoneticPr fontId="6" type="noConversion"/>
  </si>
  <si>
    <t>Membership</t>
    <phoneticPr fontId="6" type="noConversion"/>
  </si>
  <si>
    <t>Paypal account</t>
  </si>
  <si>
    <t>Membership</t>
    <phoneticPr fontId="6" type="noConversion"/>
  </si>
  <si>
    <t>Bank Charges</t>
    <phoneticPr fontId="6" type="noConversion"/>
  </si>
  <si>
    <t>JobWings</t>
    <phoneticPr fontId="6" type="noConversion"/>
  </si>
  <si>
    <t>revenue from job postings</t>
    <phoneticPr fontId="6" type="noConversion"/>
  </si>
  <si>
    <t>Bank</t>
    <phoneticPr fontId="6" type="noConversion"/>
  </si>
  <si>
    <t>Tot Exp</t>
    <phoneticPr fontId="6" type="noConversion"/>
  </si>
  <si>
    <t>Agile &amp; EPC &amp; Thinking</t>
    <phoneticPr fontId="6" type="noConversion"/>
  </si>
  <si>
    <t>150 hours per year</t>
  </si>
  <si>
    <t>Jay Hundal</t>
    <phoneticPr fontId="6" type="noConversion"/>
  </si>
  <si>
    <t>Elvis Celic</t>
    <phoneticPr fontId="6" type="noConversion"/>
  </si>
  <si>
    <t>Mihaela Istrate</t>
    <phoneticPr fontId="6" type="noConversion"/>
  </si>
  <si>
    <t>Certifications – IPMA-A income</t>
    <phoneticPr fontId="6" type="noConversion"/>
  </si>
  <si>
    <t>3 domains, per year</t>
  </si>
  <si>
    <t>Certifications – IPMA</t>
    <phoneticPr fontId="6" type="noConversion"/>
  </si>
  <si>
    <t>Level A</t>
    <phoneticPr fontId="6" type="noConversion"/>
  </si>
  <si>
    <t>Level C</t>
    <phoneticPr fontId="6" type="noConversion"/>
  </si>
  <si>
    <t>IPMA Certification - PMC</t>
    <phoneticPr fontId="6" type="noConversion"/>
  </si>
  <si>
    <t>IPMA Certification - PPMC</t>
    <phoneticPr fontId="6" type="noConversion"/>
  </si>
  <si>
    <t>Total Liabilities and Equity</t>
    <phoneticPr fontId="6" type="noConversion"/>
  </si>
  <si>
    <t>Membership</t>
    <phoneticPr fontId="6" type="noConversion"/>
  </si>
  <si>
    <t>IPMA MA Fees</t>
    <phoneticPr fontId="6" type="noConversion"/>
  </si>
  <si>
    <t>Certifications – PMAC Cert.APM Assessor fee</t>
    <phoneticPr fontId="6" type="noConversion"/>
  </si>
  <si>
    <t>IPMA fees</t>
  </si>
  <si>
    <t>unlimited use, per year</t>
  </si>
  <si>
    <t>Xerox docucards for membership</t>
  </si>
  <si>
    <t>Opening Balance</t>
  </si>
  <si>
    <t>IPMA MA fee</t>
  </si>
  <si>
    <t>Total Assets</t>
  </si>
  <si>
    <t>Webmaster</t>
  </si>
  <si>
    <t>IPMA MA Fees</t>
    <phoneticPr fontId="6" type="noConversion"/>
  </si>
  <si>
    <t>Bank</t>
    <phoneticPr fontId="6" type="noConversion"/>
  </si>
  <si>
    <t>IPMA MA Fees</t>
  </si>
  <si>
    <t>BMO</t>
    <phoneticPr fontId="6" type="noConversion"/>
  </si>
  <si>
    <t>prepay some travel expenses</t>
    <phoneticPr fontId="6" type="noConversion"/>
  </si>
  <si>
    <t>Travel</t>
    <phoneticPr fontId="6" type="noConversion"/>
  </si>
  <si>
    <t>Bank</t>
  </si>
  <si>
    <t>Responsibility</t>
  </si>
  <si>
    <t>Advertising</t>
  </si>
  <si>
    <t>Who</t>
    <phoneticPr fontId="6" type="noConversion"/>
  </si>
  <si>
    <t>Assets</t>
  </si>
  <si>
    <t>Kevin</t>
  </si>
  <si>
    <t>PayPal USD</t>
    <phoneticPr fontId="6" type="noConversion"/>
  </si>
  <si>
    <t>Certifications – PMAC</t>
    <phoneticPr fontId="6" type="noConversion"/>
  </si>
  <si>
    <t>Certifications – PMAC</t>
  </si>
  <si>
    <t>Certifications – PMAC Cert.APM Income</t>
    <phoneticPr fontId="6" type="noConversion"/>
  </si>
  <si>
    <t>from Wiley &amp; MMPubs</t>
    <phoneticPr fontId="6" type="noConversion"/>
  </si>
  <si>
    <t>IPMA Certification - 1st assessors?</t>
    <phoneticPr fontId="6" type="noConversion"/>
  </si>
  <si>
    <t>Euro</t>
    <phoneticPr fontId="6" type="noConversion"/>
  </si>
  <si>
    <t>Assessor fees, IPMA certificate fees, travel, etc.</t>
  </si>
  <si>
    <t>9D</t>
    <phoneticPr fontId="6" type="noConversion"/>
  </si>
  <si>
    <t>Remailing (PO box, postage, envelopes, labour)</t>
  </si>
  <si>
    <t>supplies</t>
  </si>
  <si>
    <t>CoD, AGM, ProjectWorld, webinars</t>
    <phoneticPr fontId="6" type="noConversion"/>
  </si>
  <si>
    <t>Certifications – IPMA-D Assessor fee</t>
    <phoneticPr fontId="6" type="noConversion"/>
  </si>
  <si>
    <t>Membership</t>
    <phoneticPr fontId="6" type="noConversion"/>
  </si>
  <si>
    <t>Cindy Chan</t>
    <phoneticPr fontId="6" type="noConversion"/>
  </si>
  <si>
    <t>Agile Cert Exam (class discount)</t>
    <phoneticPr fontId="6" type="noConversion"/>
  </si>
  <si>
    <t>Certifications – PMAC Cert.APM Income</t>
    <phoneticPr fontId="6" type="noConversion"/>
  </si>
  <si>
    <t>Paypal USD account *</t>
    <phoneticPr fontId="6" type="noConversion"/>
  </si>
  <si>
    <t>PayPal fee</t>
  </si>
  <si>
    <t>Certifications – IPMA-B Cert fee</t>
    <phoneticPr fontId="6" type="noConversion"/>
  </si>
  <si>
    <t>Liabilities and Equity</t>
    <phoneticPr fontId="6" type="noConversion"/>
  </si>
  <si>
    <t>based on the typical ATM rate for December 31, 2013 from www.OANDA.com</t>
    <phoneticPr fontId="6" type="noConversion"/>
  </si>
  <si>
    <t>IPMA Certification - #B</t>
    <phoneticPr fontId="6" type="noConversion"/>
  </si>
  <si>
    <t>paper, forms, etc.</t>
  </si>
  <si>
    <t>IPMA membership fee (510 members)</t>
    <phoneticPr fontId="6" type="noConversion"/>
  </si>
  <si>
    <t>1*?</t>
    <phoneticPr fontId="6" type="noConversion"/>
  </si>
  <si>
    <t>Certifications – IPMA-PPMC Assessor fee</t>
    <phoneticPr fontId="6" type="noConversion"/>
  </si>
  <si>
    <t>Website</t>
    <phoneticPr fontId="6" type="noConversion"/>
  </si>
  <si>
    <t>Opening Balance *</t>
    <phoneticPr fontId="6" type="noConversion"/>
  </si>
  <si>
    <t>JobWings</t>
    <phoneticPr fontId="6" type="noConversion"/>
  </si>
  <si>
    <t>Bank</t>
    <phoneticPr fontId="6" type="noConversion"/>
  </si>
  <si>
    <t>Cert.APM exam fees</t>
    <phoneticPr fontId="6" type="noConversion"/>
  </si>
  <si>
    <t>APM Cert students (cheques from Kevin - I didn't note the names before depositing)</t>
    <phoneticPr fontId="6" type="noConversion"/>
  </si>
  <si>
    <t>Michael Heavens</t>
    <phoneticPr fontId="6" type="noConversion"/>
  </si>
  <si>
    <t>Critical Thinking fee</t>
    <phoneticPr fontId="6" type="noConversion"/>
  </si>
  <si>
    <t>Certifications – PMAC Cert.APM Income</t>
    <phoneticPr fontId="6" type="noConversion"/>
  </si>
  <si>
    <t>PMAC-AGPC</t>
    <phoneticPr fontId="6" type="noConversion"/>
  </si>
  <si>
    <t>Certifications – PMAC Cert.APM Income</t>
  </si>
  <si>
    <t>EPC exam fee</t>
    <phoneticPr fontId="6" type="noConversion"/>
  </si>
  <si>
    <t>Assumptions and comments for 2013 Budget</t>
    <phoneticPr fontId="6" type="noConversion"/>
  </si>
  <si>
    <t>Unknown</t>
  </si>
  <si>
    <t>Certifications – IPMA-A Assessor fee</t>
    <phoneticPr fontId="6" type="noConversion"/>
  </si>
  <si>
    <t>Category</t>
  </si>
  <si>
    <t>IPMA Certification - #D</t>
    <phoneticPr fontId="6" type="noConversion"/>
  </si>
  <si>
    <t>conference calls</t>
  </si>
  <si>
    <t>?</t>
  </si>
  <si>
    <t>web hosting</t>
  </si>
  <si>
    <t>Net Change in cash position</t>
  </si>
  <si>
    <t>IPMA CB Validation - Effort</t>
  </si>
  <si>
    <t>Actual</t>
    <phoneticPr fontId="6" type="noConversion"/>
  </si>
  <si>
    <t>In</t>
  </si>
  <si>
    <t>certification</t>
  </si>
  <si>
    <t>Tot Inc</t>
    <phoneticPr fontId="6" type="noConversion"/>
  </si>
  <si>
    <t>CB Profit &amp; Loss by Product</t>
    <phoneticPr fontId="6" type="noConversion"/>
  </si>
  <si>
    <t>PayPal mostly</t>
  </si>
  <si>
    <t>PayPal fee</t>
    <phoneticPr fontId="6" type="noConversion"/>
  </si>
  <si>
    <t>PayPal</t>
    <phoneticPr fontId="6" type="noConversion"/>
  </si>
  <si>
    <t>Bank Charges</t>
    <phoneticPr fontId="6" type="noConversion"/>
  </si>
  <si>
    <t>Project Management Association of Canada /
 Association de gestion de projet du Canada</t>
    <phoneticPr fontId="6" type="noConversion"/>
  </si>
  <si>
    <t>Interest</t>
  </si>
  <si>
    <t>Grant</t>
  </si>
  <si>
    <t>Certification</t>
    <phoneticPr fontId="6" type="noConversion"/>
  </si>
  <si>
    <t>Certifications – IPMA CB fees/ expenses</t>
    <phoneticPr fontId="6" type="noConversion"/>
  </si>
  <si>
    <t>Certifications – PMAC</t>
    <phoneticPr fontId="6" type="noConversion"/>
  </si>
  <si>
    <t>Product</t>
    <phoneticPr fontId="6" type="noConversion"/>
  </si>
  <si>
    <t>Certifications – IPMA-PPMC Cert fee</t>
    <phoneticPr fontId="6" type="noConversion"/>
  </si>
  <si>
    <t>Certifications – PMAC Sr.APM Income</t>
    <phoneticPr fontId="6" type="noConversion"/>
  </si>
  <si>
    <t>Assessor fees</t>
  </si>
  <si>
    <t>Website</t>
    <phoneticPr fontId="6" type="noConversion"/>
  </si>
  <si>
    <t>Certifications – IPMA</t>
    <phoneticPr fontId="6" type="noConversion"/>
  </si>
  <si>
    <t>14 new plus 70 renewing members</t>
    <phoneticPr fontId="6" type="noConversion"/>
  </si>
  <si>
    <t>PayPal USD</t>
    <phoneticPr fontId="6" type="noConversion"/>
  </si>
  <si>
    <t>membership</t>
  </si>
  <si>
    <t>4LC</t>
  </si>
  <si>
    <t>Grant</t>
    <phoneticPr fontId="6" type="noConversion"/>
  </si>
  <si>
    <t>x? A</t>
    <phoneticPr fontId="6" type="noConversion"/>
  </si>
  <si>
    <t>Certifications – PMAC Thinking Income</t>
  </si>
  <si>
    <t>Ori Schibi</t>
    <phoneticPr fontId="6" type="noConversion"/>
  </si>
  <si>
    <t>Certifications – IPMA-PPMC Assessor fee</t>
    <phoneticPr fontId="6" type="noConversion"/>
  </si>
  <si>
    <t>PayPal</t>
    <phoneticPr fontId="6" type="noConversion"/>
  </si>
  <si>
    <t>Membership</t>
    <phoneticPr fontId="6" type="noConversion"/>
  </si>
  <si>
    <t>Certifications – PMAC Sr.APM Assessor fee</t>
    <phoneticPr fontId="6" type="noConversion"/>
  </si>
  <si>
    <t>Kieran Clohosey</t>
    <phoneticPr fontId="6" type="noConversion"/>
  </si>
  <si>
    <t>PayPal</t>
    <phoneticPr fontId="6" type="noConversion"/>
  </si>
  <si>
    <t>PayPal fee</t>
    <phoneticPr fontId="6" type="noConversion"/>
  </si>
  <si>
    <t>PayPal</t>
    <phoneticPr fontId="6" type="noConversion"/>
  </si>
  <si>
    <t>Membership</t>
    <phoneticPr fontId="6" type="noConversion"/>
  </si>
  <si>
    <t>PayPal</t>
    <phoneticPr fontId="6" type="noConversion"/>
  </si>
  <si>
    <t>eTransfer fee</t>
    <phoneticPr fontId="6" type="noConversion"/>
  </si>
  <si>
    <t>Bank</t>
    <phoneticPr fontId="6" type="noConversion"/>
  </si>
  <si>
    <t>BMO</t>
    <phoneticPr fontId="6" type="noConversion"/>
  </si>
  <si>
    <t>Grant Kerr</t>
    <phoneticPr fontId="6" type="noConversion"/>
  </si>
  <si>
    <t>3D</t>
    <phoneticPr fontId="6" type="noConversion"/>
  </si>
  <si>
    <t>Corporations Canada</t>
  </si>
  <si>
    <t>Income – year to date, not counting transfers</t>
    <phoneticPr fontId="6" type="noConversion"/>
  </si>
  <si>
    <t>Christophe Bredillet</t>
    <phoneticPr fontId="6" type="noConversion"/>
  </si>
  <si>
    <t>Membership</t>
    <phoneticPr fontId="6" type="noConversion"/>
  </si>
  <si>
    <t>Enrico Vianello</t>
    <phoneticPr fontId="6" type="noConversion"/>
  </si>
  <si>
    <t>Membership</t>
    <phoneticPr fontId="6" type="noConversion"/>
  </si>
  <si>
    <t>Heidi Langen</t>
    <phoneticPr fontId="6" type="noConversion"/>
  </si>
  <si>
    <t>PayPal</t>
    <phoneticPr fontId="6" type="noConversion"/>
  </si>
  <si>
    <t>Gilian Opolko</t>
    <phoneticPr fontId="6" type="noConversion"/>
  </si>
  <si>
    <t>Karen Ryan</t>
    <phoneticPr fontId="6" type="noConversion"/>
  </si>
  <si>
    <t>Pamela Moscoso</t>
    <phoneticPr fontId="6" type="noConversion"/>
  </si>
  <si>
    <t>For Assess-1</t>
    <phoneticPr fontId="6" type="noConversion"/>
  </si>
  <si>
    <t>For Assess-2</t>
    <phoneticPr fontId="6" type="noConversion"/>
  </si>
  <si>
    <t>PayPal USD</t>
    <phoneticPr fontId="6" type="noConversion"/>
  </si>
  <si>
    <t>refund fee for Corporations Canada</t>
    <phoneticPr fontId="6" type="noConversion"/>
  </si>
  <si>
    <t>Sarah Zacharias</t>
    <phoneticPr fontId="6" type="noConversion"/>
  </si>
  <si>
    <t>PayPal</t>
    <phoneticPr fontId="6" type="noConversion"/>
  </si>
  <si>
    <t>Yan Huang</t>
    <phoneticPr fontId="6" type="noConversion"/>
  </si>
  <si>
    <t>brochures, ProjectWorld expenses, etc</t>
    <phoneticPr fontId="6" type="noConversion"/>
  </si>
  <si>
    <t>Certifications – IPMA CB Travel expenses</t>
    <phoneticPr fontId="6" type="noConversion"/>
  </si>
  <si>
    <t>EPC</t>
    <phoneticPr fontId="6" type="noConversion"/>
  </si>
  <si>
    <t>PayPal fee</t>
    <phoneticPr fontId="6" type="noConversion"/>
  </si>
  <si>
    <t>Bank Charges</t>
    <phoneticPr fontId="6" type="noConversion"/>
  </si>
  <si>
    <t>PayPal</t>
    <phoneticPr fontId="6" type="noConversion"/>
  </si>
  <si>
    <t>Income Statement - Certification Body</t>
    <phoneticPr fontId="6" type="noConversion"/>
  </si>
  <si>
    <t>Certifications – IPMA-D Assessor fee</t>
  </si>
  <si>
    <t>Certifications – IPMA-A Cert fee</t>
    <phoneticPr fontId="6" type="noConversion"/>
  </si>
  <si>
    <t>Certifications – IPMA-PMC Income</t>
    <phoneticPr fontId="6" type="noConversion"/>
  </si>
  <si>
    <t>IPMA MA Fees</t>
    <phoneticPr fontId="6" type="noConversion"/>
  </si>
  <si>
    <t>Banking - conversion gain/loss</t>
    <phoneticPr fontId="6" type="noConversion"/>
  </si>
  <si>
    <t>manual correction</t>
    <phoneticPr fontId="6" type="noConversion"/>
  </si>
  <si>
    <t>Certification</t>
    <phoneticPr fontId="6" type="noConversion"/>
  </si>
  <si>
    <t>Travel</t>
    <phoneticPr fontId="6" type="noConversion"/>
  </si>
  <si>
    <t>Reserve ~$XX,000 for IPMA</t>
    <phoneticPr fontId="6" type="noConversion"/>
  </si>
  <si>
    <t>Fax services</t>
  </si>
  <si>
    <t xml:space="preserve">Kevin </t>
  </si>
  <si>
    <t>Certifications – IPMA-PPMC Income</t>
    <phoneticPr fontId="6" type="noConversion"/>
  </si>
  <si>
    <t>Publications</t>
  </si>
  <si>
    <t>webmaster</t>
  </si>
  <si>
    <t>Totals by Account</t>
  </si>
  <si>
    <t>Income – year to date</t>
  </si>
  <si>
    <t>Legal &amp; Professional Fees</t>
  </si>
  <si>
    <t>Cert.APM</t>
    <phoneticPr fontId="6" type="noConversion"/>
  </si>
  <si>
    <t>Laura Charland</t>
    <phoneticPr fontId="6" type="noConversion"/>
  </si>
  <si>
    <t>Arlene Clement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</si>
  <si>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</si>
  <si>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</si>
  <si>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</si>
  <si>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Membership</t>
    <phoneticPr fontId="6" type="noConversion"/>
  </si>
  <si>
    <t>Annual return fee; courier fees</t>
  </si>
  <si>
    <t>Bank Charges</t>
  </si>
  <si>
    <t>Out</t>
  </si>
  <si>
    <t>Certification</t>
  </si>
  <si>
    <t>Website</t>
  </si>
  <si>
    <t>Insurance</t>
  </si>
  <si>
    <t>per year</t>
  </si>
  <si>
    <t>Banking - Account transfers</t>
    <phoneticPr fontId="6" type="noConversion"/>
  </si>
  <si>
    <t>Treasurer</t>
    <phoneticPr fontId="6" type="noConversion"/>
  </si>
  <si>
    <t>IPMA CB Validation - IPMA Fee</t>
  </si>
  <si>
    <t>IPMA Certification fee</t>
    <phoneticPr fontId="6" type="noConversion"/>
  </si>
  <si>
    <t>Assessor fee</t>
    <phoneticPr fontId="6" type="noConversion"/>
  </si>
  <si>
    <t>Profit (Loss)</t>
    <phoneticPr fontId="6" type="noConversion"/>
  </si>
  <si>
    <t>Cert fee (Euro)</t>
    <phoneticPr fontId="6" type="noConversion"/>
  </si>
  <si>
    <t>Retained earnings</t>
    <phoneticPr fontId="6" type="noConversion"/>
  </si>
  <si>
    <t>manual calculation</t>
    <phoneticPr fontId="6" type="noConversion"/>
  </si>
  <si>
    <t>Membership Package labour (8 mins/pkg fillout/print/mail @100/hr)</t>
  </si>
  <si>
    <t>PayPal USD</t>
    <phoneticPr fontId="6" type="noConversion"/>
  </si>
  <si>
    <t>Supplies</t>
  </si>
  <si>
    <t>PMAC does not charge GST/HST because it is a small supplier according to the Canada Revenue Agency and</t>
    <phoneticPr fontId="6" type="noConversion"/>
  </si>
  <si>
    <t>assessing in 2013</t>
    <phoneticPr fontId="6" type="noConversion"/>
  </si>
  <si>
    <t>Certifications – IPMA-PPMC Income</t>
    <phoneticPr fontId="6" type="noConversion"/>
  </si>
  <si>
    <t>Other</t>
  </si>
  <si>
    <t>IPMA Certification base fee</t>
    <phoneticPr fontId="6" type="noConversion"/>
  </si>
  <si>
    <t>Donations in kind</t>
  </si>
  <si>
    <t>paid in 2012</t>
    <phoneticPr fontId="6" type="noConversion"/>
  </si>
  <si>
    <t>For IPMA</t>
    <phoneticPr fontId="6" type="noConversion"/>
  </si>
  <si>
    <t>Certifications – PMAC EPC Assessor fee</t>
    <phoneticPr fontId="6" type="noConversion"/>
  </si>
  <si>
    <t>Website</t>
    <phoneticPr fontId="6" type="noConversion"/>
  </si>
  <si>
    <t>January 1, 2012 - December 31, 2012</t>
    <phoneticPr fontId="6" type="noConversion"/>
  </si>
  <si>
    <t>Cash Flow</t>
  </si>
  <si>
    <t>Cert.APM brochure/exam production, printing</t>
  </si>
  <si>
    <t>Certifications – IPMA-D Cert fee</t>
  </si>
  <si>
    <t>Sr.APM</t>
    <phoneticPr fontId="6" type="noConversion"/>
  </si>
  <si>
    <t>IPMA fee</t>
    <phoneticPr fontId="6" type="noConversion"/>
  </si>
  <si>
    <t>Alexander Russell</t>
    <phoneticPr fontId="6" type="noConversion"/>
  </si>
  <si>
    <t>Membership</t>
    <phoneticPr fontId="6" type="noConversion"/>
  </si>
  <si>
    <t>Certifications – IPMA-D Income</t>
    <phoneticPr fontId="6" type="noConversion"/>
  </si>
  <si>
    <t>Count certs</t>
    <phoneticPr fontId="6" type="noConversion"/>
  </si>
  <si>
    <t>January 1, 2016 - December 31, 2016</t>
    <phoneticPr fontId="6" type="noConversion"/>
  </si>
  <si>
    <t>January 1, 2016 - December 31, 2016</t>
    <phoneticPr fontId="6" type="noConversion"/>
  </si>
  <si>
    <t>January 1, 2016 – December 31, 2016</t>
    <phoneticPr fontId="6" type="noConversion"/>
  </si>
  <si>
    <t>Budget 2016</t>
    <phoneticPr fontId="6" type="noConversion"/>
  </si>
  <si>
    <t>Certifications – IPMA-B Income</t>
    <phoneticPr fontId="6" type="noConversion"/>
  </si>
  <si>
    <t>Certifications – IPMA-C Assessor fee</t>
    <phoneticPr fontId="6" type="noConversion"/>
  </si>
  <si>
    <t>Cert-4LC (net)</t>
    <phoneticPr fontId="6" type="noConversion"/>
  </si>
  <si>
    <t>Certifications – IPMA-PMC Assessor fee</t>
    <phoneticPr fontId="6" type="noConversion"/>
  </si>
  <si>
    <t xml:space="preserve"> - IPMA and assessor fees assume members and certifications, so that's okay</t>
    <phoneticPr fontId="6" type="noConversion"/>
  </si>
  <si>
    <t>Certifications – IPMA-C Income</t>
    <phoneticPr fontId="6" type="noConversion"/>
  </si>
  <si>
    <t>Treasurer</t>
    <phoneticPr fontId="6" type="noConversion"/>
  </si>
  <si>
    <t>BMO</t>
    <phoneticPr fontId="6" type="noConversion"/>
  </si>
  <si>
    <t>IPMA</t>
    <phoneticPr fontId="6" type="noConversion"/>
  </si>
  <si>
    <t>wire payment handling charge</t>
    <phoneticPr fontId="6" type="noConversion"/>
  </si>
  <si>
    <t>When</t>
    <phoneticPr fontId="6" type="noConversion"/>
  </si>
  <si>
    <t>Revenue and expenses are recorded on a cash basis in Canadian dollars.</t>
    <phoneticPr fontId="6" type="noConversion"/>
  </si>
  <si>
    <t>Events</t>
  </si>
  <si>
    <t>Certifications – PMAC Cert.APM Income</t>
    <phoneticPr fontId="6" type="noConversion"/>
  </si>
  <si>
    <t>IPMA Certification - #A</t>
    <phoneticPr fontId="6" type="noConversion"/>
  </si>
  <si>
    <t>Expenses</t>
  </si>
  <si>
    <t>Treasurer</t>
  </si>
  <si>
    <t>Thinking</t>
    <phoneticPr fontId="6" type="noConversion"/>
  </si>
  <si>
    <t>Bank Charges</t>
    <phoneticPr fontId="6" type="noConversion"/>
  </si>
  <si>
    <t>Certifications – IPMA CB fees/ expenses</t>
  </si>
  <si>
    <t>Certifications – IPMA-B Cert fee</t>
  </si>
  <si>
    <t>IPMA</t>
    <phoneticPr fontId="6" type="noConversion"/>
  </si>
  <si>
    <t>OnCourss Solutions</t>
    <phoneticPr fontId="6" type="noConversion"/>
  </si>
  <si>
    <t>Julie Rickard</t>
    <phoneticPr fontId="6" type="noConversion"/>
  </si>
  <si>
    <t>Membership</t>
    <phoneticPr fontId="6" type="noConversion"/>
  </si>
  <si>
    <t>George Pasieka</t>
    <phoneticPr fontId="6" type="noConversion"/>
  </si>
  <si>
    <t>Lee Hollister</t>
    <phoneticPr fontId="6" type="noConversion"/>
  </si>
  <si>
    <t>Bank</t>
    <phoneticPr fontId="6" type="noConversion"/>
  </si>
  <si>
    <t>Certifications – IPMA-B Income</t>
  </si>
  <si>
    <t>Peter Milsom</t>
    <phoneticPr fontId="6" type="noConversion"/>
  </si>
  <si>
    <t>Membership</t>
    <phoneticPr fontId="6" type="noConversion"/>
  </si>
  <si>
    <t>January 1, 2016 - December 31, 2016</t>
    <phoneticPr fontId="6" type="noConversion"/>
  </si>
  <si>
    <t>as of December 31, 2016</t>
    <phoneticPr fontId="6" type="noConversion"/>
  </si>
  <si>
    <t>Paula Maychruk</t>
    <phoneticPr fontId="6" type="noConversion"/>
  </si>
  <si>
    <t>Shawn Gendron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</si>
  <si>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</si>
  <si>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</si>
  <si>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</si>
  <si>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Membership</t>
    <phoneticPr fontId="6" type="noConversion"/>
  </si>
  <si>
    <t>IPMA Fees</t>
  </si>
  <si>
    <t>Incorporation</t>
  </si>
  <si>
    <t>In</t>
    <phoneticPr fontId="6" type="noConversion"/>
  </si>
  <si>
    <t>Certifications – IPMA CB Validation</t>
    <phoneticPr fontId="6" type="noConversion"/>
  </si>
  <si>
    <t>DRAFT REPORT</t>
    <phoneticPr fontId="6" type="noConversion"/>
  </si>
  <si>
    <t>3A, 12D</t>
    <phoneticPr fontId="6" type="noConversion"/>
  </si>
  <si>
    <t>Certifications – IPMA-A income</t>
    <phoneticPr fontId="6" type="noConversion"/>
  </si>
  <si>
    <t>2016Q1 LvlB certification fee (invoice 160180 €66)</t>
    <phoneticPr fontId="6" type="noConversion"/>
  </si>
  <si>
    <t>Ledger</t>
    <phoneticPr fontId="6" type="noConversion"/>
  </si>
  <si>
    <t>Certifications – PMAC Thinking Assessor fee</t>
    <phoneticPr fontId="6" type="noConversion"/>
  </si>
  <si>
    <t>PMAC Off-book expenses</t>
  </si>
  <si>
    <t>Who To</t>
  </si>
  <si>
    <t>Supplies</t>
    <phoneticPr fontId="6" type="noConversion"/>
  </si>
  <si>
    <t>Bruce Chang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</si>
  <si>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</si>
  <si>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</si>
  <si>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</si>
  <si>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Totals by Category</t>
  </si>
  <si>
    <t>Telephone</t>
  </si>
  <si>
    <t>Certifications – IPMA-C Income</t>
    <phoneticPr fontId="6" type="noConversion"/>
  </si>
  <si>
    <t>Assess-1</t>
    <phoneticPr fontId="6" type="noConversion"/>
  </si>
  <si>
    <t>Certifications – IPMA CB Validation</t>
    <phoneticPr fontId="6" type="noConversion"/>
  </si>
  <si>
    <t>Certifications – IPMA-PMC Cert fee</t>
    <phoneticPr fontId="6" type="noConversion"/>
  </si>
  <si>
    <t>Miscellaneous:</t>
    <phoneticPr fontId="6" type="noConversion"/>
  </si>
  <si>
    <t>Roshan Dampe Acharige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</si>
  <si>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</si>
  <si>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</si>
  <si>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</si>
  <si>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Cert.APM exam fee</t>
    <phoneticPr fontId="6" type="noConversion"/>
  </si>
  <si>
    <t>Income Statement - Member Association (without CB)</t>
    <phoneticPr fontId="6" type="noConversion"/>
  </si>
  <si>
    <t>Certifications – IPMA-A Cert fee</t>
    <phoneticPr fontId="6" type="noConversion"/>
  </si>
  <si>
    <t>UofT Invoice UT1601</t>
    <phoneticPr fontId="6" type="noConversion"/>
  </si>
  <si>
    <t>Certifications – PMAC Cert.APM Income</t>
    <phoneticPr fontId="6" type="noConversion"/>
  </si>
  <si>
    <t>Banking - conversion gain/loss</t>
  </si>
  <si>
    <t>1A, 1B, 1C, 5D</t>
    <phoneticPr fontId="6" type="noConversion"/>
  </si>
  <si>
    <t>CAD</t>
    <phoneticPr fontId="6" type="noConversion"/>
  </si>
  <si>
    <t>Keith</t>
  </si>
  <si>
    <t>Who From</t>
  </si>
  <si>
    <t>PayPal USD</t>
    <phoneticPr fontId="6" type="noConversion"/>
  </si>
  <si>
    <t>Income</t>
    <phoneticPr fontId="6" type="noConversion"/>
  </si>
  <si>
    <t>Expense</t>
    <phoneticPr fontId="6" type="noConversion"/>
  </si>
  <si>
    <t>For 2013:</t>
    <phoneticPr fontId="6" type="noConversion"/>
  </si>
  <si>
    <t>Admin</t>
  </si>
  <si>
    <t>Certifications – PMAC Cert.APM Income</t>
    <phoneticPr fontId="6" type="noConversion"/>
  </si>
  <si>
    <t>ICB4 French translation</t>
    <phoneticPr fontId="6" type="noConversion"/>
  </si>
  <si>
    <t>Bank</t>
    <phoneticPr fontId="6" type="noConversion"/>
  </si>
  <si>
    <t>Ivana Pribramska</t>
    <phoneticPr fontId="6" type="noConversion"/>
  </si>
  <si>
    <t>Mehdi Shirzadi</t>
    <phoneticPr fontId="6" type="noConversion"/>
  </si>
  <si>
    <t>Certifications – PMAC EPC Income</t>
  </si>
  <si>
    <t>IPMA CB Validation - Accommodations</t>
  </si>
  <si>
    <t>Cert-PMAC (net)</t>
    <phoneticPr fontId="6" type="noConversion"/>
  </si>
  <si>
    <t>IPMA-B</t>
    <phoneticPr fontId="6" type="noConversion"/>
  </si>
  <si>
    <t>Incorporation</t>
    <phoneticPr fontId="6" type="noConversion"/>
  </si>
  <si>
    <t>% Profit</t>
    <phoneticPr fontId="6" type="noConversion"/>
  </si>
  <si>
    <t>Awards</t>
    <phoneticPr fontId="6" type="noConversion"/>
  </si>
  <si>
    <t>correct  28Jan2017</t>
    <phoneticPr fontId="6" type="noConversion"/>
  </si>
  <si>
    <t>correct  28Jan2017</t>
    <phoneticPr fontId="6" type="noConversion"/>
  </si>
  <si>
    <t>annual fee invoice 160262  (€1463 + €44 PayPal fee = €1507)  See PayPal invoice</t>
    <phoneticPr fontId="6" type="noConversion"/>
  </si>
  <si>
    <t>Payment from SMAP for Invoice SMAP1601, sent 10Oct2016, has not yet been received. 28Jan2017</t>
    <phoneticPr fontId="6" type="noConversion"/>
  </si>
  <si>
    <t xml:space="preserve"> - events are supposed to raise profile and generate memberships – and must be evaluated on that basis</t>
    <phoneticPr fontId="6" type="noConversion"/>
  </si>
  <si>
    <t>Mehrdad Sharif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</si>
  <si>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</si>
  <si>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</si>
  <si>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</si>
  <si>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Rasha Alraddadi</t>
    <phoneticPr fontId="6" type="noConversion"/>
  </si>
  <si>
    <t>Membership</t>
    <phoneticPr fontId="6" type="noConversion"/>
  </si>
  <si>
    <t>IPMA</t>
    <phoneticPr fontId="6" type="noConversion"/>
  </si>
  <si>
    <t>2016Q1 certification fee (invoice 160180 €800)</t>
    <phoneticPr fontId="6" type="noConversion"/>
  </si>
  <si>
    <t>PayPal</t>
    <phoneticPr fontId="6" type="noConversion"/>
  </si>
  <si>
    <t>IPMA MA Fees</t>
    <phoneticPr fontId="6" type="noConversion"/>
  </si>
  <si>
    <t>Critical Thinking fee - refund</t>
    <phoneticPr fontId="6" type="noConversion"/>
  </si>
  <si>
    <t>Hélène Deshaies (chq #40)</t>
    <phoneticPr fontId="6" type="noConversion"/>
  </si>
  <si>
    <t>Angela Rutherford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</si>
  <si>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</si>
  <si>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</si>
  <si>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</si>
  <si>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Omolara Talabi</t>
    <phoneticPr fontId="6" type="noConversion"/>
  </si>
  <si>
    <t>Roel Valencia</t>
    <phoneticPr fontId="6" type="noConversion"/>
  </si>
  <si>
    <t>Mehnaz Cogswell</t>
    <phoneticPr fontId="6" type="noConversion"/>
  </si>
  <si>
    <t>Cert.APM exam fees</t>
    <phoneticPr fontId="6" type="noConversion"/>
  </si>
  <si>
    <t>Certifications – PMAC Cert.APM Income</t>
    <phoneticPr fontId="6" type="noConversion"/>
  </si>
  <si>
    <t>Angela Beatty</t>
    <phoneticPr fontId="6" type="noConversion"/>
  </si>
  <si>
    <t>Membership</t>
    <phoneticPr fontId="6" type="noConversion"/>
  </si>
  <si>
    <t>Sawra Bitar</t>
    <phoneticPr fontId="6" type="noConversion"/>
  </si>
  <si>
    <t>based on the typical ATM rate for December 31, 2017 from www.OANDA.com</t>
    <phoneticPr fontId="6" type="noConversion"/>
  </si>
  <si>
    <t xml:space="preserve">accounting difference on conversion rates </t>
    <phoneticPr fontId="6" type="noConversion"/>
  </si>
  <si>
    <t>Certifications – PMAC EPC Income</t>
    <phoneticPr fontId="6" type="noConversion"/>
  </si>
  <si>
    <t>Net Income</t>
  </si>
  <si>
    <t>Membership</t>
    <phoneticPr fontId="6" type="noConversion"/>
  </si>
  <si>
    <t>Membership</t>
    <phoneticPr fontId="6" type="noConversion"/>
  </si>
  <si>
    <t>Mehrdad Sharif</t>
    <phoneticPr fontId="6" type="noConversion"/>
  </si>
  <si>
    <t>Level C 1st payment</t>
    <phoneticPr fontId="6" type="noConversion"/>
  </si>
  <si>
    <t>Certifications – IPMA-C Income</t>
  </si>
  <si>
    <t>Advert (net)</t>
    <phoneticPr fontId="6" type="noConversion"/>
  </si>
  <si>
    <t>Donations</t>
  </si>
  <si>
    <t>Advertising</t>
    <phoneticPr fontId="6" type="noConversion"/>
  </si>
  <si>
    <t>Code</t>
  </si>
  <si>
    <t>Janice Steeves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</si>
  <si>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</si>
  <si>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</si>
  <si>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</si>
  <si>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Shraddha Pradhan</t>
    <phoneticPr fontId="6" type="noConversion"/>
  </si>
  <si>
    <t>Suresh Kumar</t>
    <phoneticPr fontId="6" type="noConversion"/>
  </si>
  <si>
    <t>PayPal</t>
    <phoneticPr fontId="6" type="noConversion"/>
  </si>
  <si>
    <t>Membership</t>
    <phoneticPr fontId="6" type="noConversion"/>
  </si>
  <si>
    <t>Genadi Mostovy</t>
    <phoneticPr fontId="6" type="noConversion"/>
  </si>
  <si>
    <t>Austin Scales</t>
    <phoneticPr fontId="6" type="noConversion"/>
  </si>
  <si>
    <t>145.35 from USD account</t>
    <phoneticPr fontId="6" type="noConversion"/>
  </si>
  <si>
    <t>Bank</t>
    <phoneticPr fontId="6" type="noConversion"/>
  </si>
  <si>
    <t>Thales</t>
    <phoneticPr fontId="6" type="noConversion"/>
  </si>
  <si>
    <t>4 * Level B assessments</t>
    <phoneticPr fontId="6" type="noConversion"/>
  </si>
  <si>
    <t>1 * Level C assessment</t>
    <phoneticPr fontId="6" type="noConversion"/>
  </si>
  <si>
    <t>Grant Kerr (chq #41)</t>
    <phoneticPr fontId="6" type="noConversion"/>
  </si>
  <si>
    <t>Grant Kerr (chq #41)</t>
    <phoneticPr fontId="6" type="noConversion"/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</si>
</sst>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_);_(* \(#,##0.00\);_(* &quot;-&quot;??_);_(@_)"/>
    <numFmt numFmtId="165" formatCode="_-\$* #,##0.00_-;&quot;-$&quot;* #,##0.00_-;_-\$* \-??_-;_-@_-"/>
    <numFmt numFmtId="166" formatCode="_-\$* #,##0_-;&quot;-$&quot;* #,##0_-;_-\$* \-??_-;_-@_-"/>
  </numFmts>
  <fonts count="12">
    <font>
      <sz val="10"/>
      <name val="Hiragino Kaku Gothic ProN W3"/>
      <family val="2"/>
    </font>
    <font>
      <sz val="10"/>
      <name val="Arial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name val="Verdana"/>
    </font>
    <font>
      <sz val="10"/>
      <name val="Calibri"/>
    </font>
    <font>
      <sz val="10"/>
      <color indexed="8"/>
      <name val="Calibri"/>
      <family val="2"/>
    </font>
    <font>
      <sz val="12"/>
      <name val="Arial"/>
    </font>
    <font>
      <sz val="12"/>
      <color indexed="8"/>
      <name val="Arial"/>
    </font>
    <font>
      <sz val="10"/>
      <color indexed="7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5" fontId="2" fillId="0" borderId="0"/>
    <xf numFmtId="0" fontId="2" fillId="0" borderId="0"/>
  </cellStyleXfs>
  <cellXfs count="107">
    <xf numFmtId="0" fontId="0" fillId="0" borderId="0" xfId="0"/>
    <xf numFmtId="0" fontId="2" fillId="0" borderId="0" xfId="3"/>
    <xf numFmtId="2" fontId="2" fillId="0" borderId="0" xfId="3" applyNumberFormat="1"/>
    <xf numFmtId="0" fontId="5" fillId="2" borderId="8" xfId="3" applyFont="1" applyFill="1" applyBorder="1" applyAlignment="1">
      <alignment horizontal="center"/>
    </xf>
    <xf numFmtId="2" fontId="5" fillId="2" borderId="8" xfId="3" applyNumberFormat="1" applyFont="1" applyFill="1" applyBorder="1" applyAlignment="1">
      <alignment horizontal="center"/>
    </xf>
    <xf numFmtId="16" fontId="2" fillId="0" borderId="0" xfId="3" applyNumberFormat="1"/>
    <xf numFmtId="0" fontId="2" fillId="0" borderId="0" xfId="3" applyFont="1"/>
    <xf numFmtId="0" fontId="2" fillId="0" borderId="0" xfId="3" applyFont="1" applyFill="1"/>
    <xf numFmtId="0" fontId="2" fillId="2" borderId="8" xfId="3" applyFill="1" applyBorder="1"/>
    <xf numFmtId="2" fontId="5" fillId="2" borderId="8" xfId="3" applyNumberFormat="1" applyFont="1" applyFill="1" applyBorder="1" applyAlignment="1">
      <alignment horizontal="right"/>
    </xf>
    <xf numFmtId="2" fontId="2" fillId="2" borderId="8" xfId="3" applyNumberFormat="1" applyFill="1" applyBorder="1"/>
    <xf numFmtId="0" fontId="5" fillId="0" borderId="0" xfId="3" applyFont="1"/>
    <xf numFmtId="0" fontId="2" fillId="0" borderId="0" xfId="3" applyFont="1" applyFill="1" applyBorder="1"/>
    <xf numFmtId="0" fontId="0" fillId="0" borderId="0" xfId="0" applyAlignment="1">
      <alignment horizontal="left"/>
    </xf>
    <xf numFmtId="0" fontId="2" fillId="0" borderId="0" xfId="3" applyAlignment="1">
      <alignment horizontal="left"/>
    </xf>
    <xf numFmtId="0" fontId="4" fillId="2" borderId="0" xfId="3" applyFont="1" applyFill="1"/>
    <xf numFmtId="0" fontId="2" fillId="2" borderId="0" xfId="3" applyFill="1"/>
    <xf numFmtId="0" fontId="3" fillId="0" borderId="0" xfId="0" applyFont="1"/>
    <xf numFmtId="0" fontId="3" fillId="0" borderId="0" xfId="3" applyFont="1"/>
    <xf numFmtId="3" fontId="2" fillId="0" borderId="0" xfId="3" applyNumberFormat="1"/>
    <xf numFmtId="3" fontId="2" fillId="0" borderId="3" xfId="3" applyNumberFormat="1" applyBorder="1"/>
    <xf numFmtId="3" fontId="2" fillId="0" borderId="9" xfId="3" applyNumberFormat="1" applyBorder="1"/>
    <xf numFmtId="0" fontId="5" fillId="2" borderId="13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2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166" fontId="5" fillId="0" borderId="1" xfId="2" applyNumberFormat="1" applyFont="1" applyBorder="1"/>
    <xf numFmtId="0" fontId="2" fillId="2" borderId="0" xfId="3" applyFont="1" applyFill="1"/>
    <xf numFmtId="0" fontId="7" fillId="0" borderId="0" xfId="0" applyFont="1"/>
    <xf numFmtId="16" fontId="2" fillId="0" borderId="0" xfId="3" applyNumberFormat="1" applyFont="1"/>
    <xf numFmtId="0" fontId="8" fillId="0" borderId="0" xfId="3" applyFont="1"/>
    <xf numFmtId="0" fontId="8" fillId="0" borderId="0" xfId="3" applyFont="1" applyFill="1"/>
    <xf numFmtId="164" fontId="7" fillId="0" borderId="9" xfId="1" applyFont="1" applyBorder="1"/>
    <xf numFmtId="164" fontId="7" fillId="0" borderId="0" xfId="1" applyFont="1"/>
    <xf numFmtId="164" fontId="7" fillId="2" borderId="8" xfId="1" applyFont="1" applyFill="1" applyBorder="1" applyAlignment="1">
      <alignment horizontal="right"/>
    </xf>
    <xf numFmtId="164" fontId="7" fillId="0" borderId="3" xfId="1" applyFont="1" applyBorder="1"/>
    <xf numFmtId="4" fontId="2" fillId="0" borderId="0" xfId="3" applyNumberFormat="1"/>
    <xf numFmtId="4" fontId="2" fillId="0" borderId="0" xfId="3" applyNumberFormat="1" applyFill="1"/>
    <xf numFmtId="4" fontId="2" fillId="0" borderId="0" xfId="0" applyNumberFormat="1" applyFont="1"/>
    <xf numFmtId="4" fontId="7" fillId="0" borderId="9" xfId="1" applyNumberFormat="1" applyFont="1" applyBorder="1"/>
    <xf numFmtId="4" fontId="2" fillId="0" borderId="0" xfId="3" applyNumberFormat="1" applyFont="1"/>
    <xf numFmtId="0" fontId="9" fillId="0" borderId="0" xfId="0" applyFont="1"/>
    <xf numFmtId="2" fontId="10" fillId="0" borderId="14" xfId="0" applyNumberFormat="1" applyFont="1" applyBorder="1"/>
    <xf numFmtId="0" fontId="9" fillId="4" borderId="0" xfId="0" applyFont="1" applyFill="1"/>
    <xf numFmtId="0" fontId="9" fillId="0" borderId="0" xfId="0" applyFont="1" applyFill="1"/>
    <xf numFmtId="0" fontId="5" fillId="2" borderId="8" xfId="3" applyFont="1" applyFill="1" applyBorder="1" applyAlignment="1">
      <alignment horizontal="center"/>
    </xf>
    <xf numFmtId="15" fontId="7" fillId="0" borderId="0" xfId="0" applyNumberFormat="1" applyFont="1"/>
    <xf numFmtId="0" fontId="2" fillId="0" borderId="0" xfId="0" applyFont="1"/>
    <xf numFmtId="0" fontId="2" fillId="0" borderId="0" xfId="0" applyFont="1"/>
    <xf numFmtId="164" fontId="7" fillId="0" borderId="0" xfId="0" applyNumberFormat="1" applyFont="1"/>
    <xf numFmtId="164" fontId="2" fillId="0" borderId="0" xfId="3" applyNumberFormat="1"/>
    <xf numFmtId="2" fontId="5" fillId="0" borderId="0" xfId="3" applyNumberFormat="1" applyFont="1"/>
    <xf numFmtId="164" fontId="2" fillId="0" borderId="0" xfId="3" applyNumberFormat="1" applyFont="1"/>
    <xf numFmtId="1" fontId="2" fillId="0" borderId="0" xfId="3" applyNumberFormat="1"/>
    <xf numFmtId="0" fontId="2" fillId="0" borderId="0" xfId="3" applyAlignment="1">
      <alignment horizontal="center"/>
    </xf>
    <xf numFmtId="0" fontId="2" fillId="0" borderId="0" xfId="3" applyFont="1" applyAlignment="1">
      <alignment horizontal="center"/>
    </xf>
    <xf numFmtId="0" fontId="5" fillId="2" borderId="8" xfId="3" applyFont="1" applyFill="1" applyBorder="1" applyAlignment="1">
      <alignment horizontal="center"/>
    </xf>
    <xf numFmtId="4" fontId="2" fillId="0" borderId="0" xfId="3" applyNumberFormat="1" applyFont="1" applyAlignment="1">
      <alignment horizontal="right"/>
    </xf>
    <xf numFmtId="164" fontId="2" fillId="0" borderId="0" xfId="3" applyNumberFormat="1"/>
    <xf numFmtId="1" fontId="11" fillId="0" borderId="0" xfId="3" applyNumberFormat="1" applyFont="1"/>
    <xf numFmtId="164" fontId="7" fillId="0" borderId="0" xfId="1" applyFont="1" applyBorder="1"/>
    <xf numFmtId="164" fontId="2" fillId="0" borderId="0" xfId="3" applyNumberFormat="1"/>
    <xf numFmtId="164" fontId="2" fillId="0" borderId="0" xfId="3" applyNumberForma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3" fillId="2" borderId="0" xfId="3" applyFont="1" applyFill="1" applyBorder="1" applyAlignment="1">
      <alignment horizontal="left" wrapText="1"/>
    </xf>
    <xf numFmtId="0" fontId="2" fillId="0" borderId="0" xfId="0" applyFont="1"/>
    <xf numFmtId="0" fontId="2" fillId="0" borderId="0" xfId="3" applyFont="1" applyAlignment="1">
      <alignment horizontal="right"/>
    </xf>
    <xf numFmtId="2" fontId="2" fillId="0" borderId="0" xfId="3" applyNumberFormat="1"/>
    <xf numFmtId="164" fontId="2" fillId="0" borderId="0" xfId="3" applyNumberFormat="1"/>
    <xf numFmtId="164" fontId="2" fillId="0" borderId="0" xfId="3" applyNumberFormat="1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3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0" fillId="0" borderId="0" xfId="0" quotePrefix="1"/>
    <xf numFmtId="2" fontId="9" fillId="0" borderId="0" xfId="0" applyNumberFormat="1" applyFont="1"/>
    <xf numFmtId="164" fontId="7" fillId="0" borderId="0" xfId="1" applyFont="1" applyFill="1"/>
    <xf numFmtId="0" fontId="3" fillId="2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Excel Built-in Normal" xfId="3"/>
    <cellStyle name="Normal" xfId="0" builtinId="0"/>
  </cellStyles>
  <dxfs count="2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>
          <fgColor indexed="33"/>
          <bgColor indexed="14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7F7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7FD7A7"/>
      <rgbColor rgb="00FF996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 lang="en-CA"/>
            </a:pPr>
            <a:r>
              <a:rPr lang="en-CA" sz="1800" b="1">
                <a:latin typeface="+mn-lt"/>
              </a:rPr>
              <a:t>Total Income &amp; Expenses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2"/>
          <c:order val="0"/>
          <c:spPr>
            <a:ln>
              <a:noFill/>
            </a:ln>
            <a:effectLst/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Historical!$C$2:$C$13</c:f>
              <c:numCache>
                <c:formatCode>General</c:formatCode>
                <c:ptCount val="12"/>
                <c:pt idx="0">
                  <c:v>1124.62</c:v>
                </c:pt>
                <c:pt idx="1">
                  <c:v>174.59</c:v>
                </c:pt>
                <c:pt idx="2">
                  <c:v>5442.02</c:v>
                </c:pt>
                <c:pt idx="3">
                  <c:v>17819.9</c:v>
                </c:pt>
                <c:pt idx="4">
                  <c:v>27839.43</c:v>
                </c:pt>
                <c:pt idx="5">
                  <c:v>13411.94</c:v>
                </c:pt>
                <c:pt idx="6">
                  <c:v>18740.65</c:v>
                </c:pt>
                <c:pt idx="7">
                  <c:v>58310.56</c:v>
                </c:pt>
                <c:pt idx="8">
                  <c:v>42953.14</c:v>
                </c:pt>
              </c:numCache>
            </c:numRef>
          </c:val>
        </c:ser>
        <c:ser>
          <c:idx val="3"/>
          <c:order val="1"/>
          <c:spPr>
            <a:ln>
              <a:noFill/>
            </a:ln>
            <a:effectLst/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Historical!$D$2:$D$13</c:f>
              <c:numCache>
                <c:formatCode>General</c:formatCode>
                <c:ptCount val="12"/>
                <c:pt idx="0">
                  <c:v>-9.24</c:v>
                </c:pt>
                <c:pt idx="1">
                  <c:v>-87.45</c:v>
                </c:pt>
                <c:pt idx="2">
                  <c:v>-5416.22</c:v>
                </c:pt>
                <c:pt idx="3">
                  <c:v>-11386.49</c:v>
                </c:pt>
                <c:pt idx="4">
                  <c:v>-14749.05</c:v>
                </c:pt>
                <c:pt idx="5">
                  <c:v>-15765.29</c:v>
                </c:pt>
                <c:pt idx="6">
                  <c:v>-21797.36</c:v>
                </c:pt>
                <c:pt idx="7">
                  <c:v>-52791.25</c:v>
                </c:pt>
                <c:pt idx="8">
                  <c:v>-17594.24</c:v>
                </c:pt>
              </c:numCache>
            </c:numRef>
          </c:val>
        </c:ser>
        <c:overlap val="100"/>
        <c:axId val="440074680"/>
        <c:axId val="403512168"/>
      </c:barChart>
      <c:catAx>
        <c:axId val="440074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03512168"/>
        <c:crosses val="autoZero"/>
        <c:auto val="1"/>
        <c:lblAlgn val="ctr"/>
        <c:lblOffset val="100"/>
      </c:catAx>
      <c:valAx>
        <c:axId val="40351216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40074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/>
        <a:lstStyle/>
        <a:p>
          <a:pPr>
            <a:defRPr lang="en-CA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spPr>
        <a:noFill/>
        <a:ln w="25400">
          <a:noFill/>
        </a:ln>
      </c:spPr>
      <c:txPr>
        <a:bodyPr/>
        <a:lstStyle/>
        <a:p>
          <a:pPr>
            <a:defRPr lang="en-CA"/>
          </a:pPr>
          <a:endParaRPr lang="en-US"/>
        </a:p>
      </c:txPr>
    </c:title>
    <c:plotArea>
      <c:layout/>
      <c:barChart>
        <c:barDir val="col"/>
        <c:grouping val="stacked"/>
        <c:ser>
          <c:idx val="0"/>
          <c:order val="0"/>
          <c:tx>
            <c:strRef>
              <c:f>Historical!$B$1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Historical!$B$2:$B$13</c:f>
              <c:numCache>
                <c:formatCode>General</c:formatCode>
                <c:ptCount val="12"/>
                <c:pt idx="0" formatCode="0.00">
                  <c:v>1115.38</c:v>
                </c:pt>
                <c:pt idx="1">
                  <c:v>1202.52</c:v>
                </c:pt>
                <c:pt idx="2">
                  <c:v>1228.32</c:v>
                </c:pt>
                <c:pt idx="3">
                  <c:v>7661.73</c:v>
                </c:pt>
                <c:pt idx="4">
                  <c:v>20752.11</c:v>
                </c:pt>
                <c:pt idx="5">
                  <c:v>18398.85</c:v>
                </c:pt>
                <c:pt idx="6">
                  <c:v>14407.21</c:v>
                </c:pt>
                <c:pt idx="7">
                  <c:v>19926.42</c:v>
                </c:pt>
                <c:pt idx="8">
                  <c:v>45285.33</c:v>
                </c:pt>
              </c:numCache>
            </c:numRef>
          </c:val>
        </c:ser>
        <c:gapWidth val="75"/>
        <c:overlap val="100"/>
        <c:axId val="423335960"/>
        <c:axId val="423338856"/>
      </c:barChart>
      <c:catAx>
        <c:axId val="4233359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23338856"/>
        <c:crosses val="autoZero"/>
        <c:auto val="1"/>
        <c:lblAlgn val="ctr"/>
        <c:lblOffset val="100"/>
      </c:catAx>
      <c:valAx>
        <c:axId val="4233388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23335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spPr>
        <a:noFill/>
        <a:ln w="25400">
          <a:noFill/>
        </a:ln>
      </c:spPr>
      <c:txPr>
        <a:bodyPr/>
        <a:lstStyle/>
        <a:p>
          <a:pPr>
            <a:defRPr lang="en-CA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lang="en-CA"/>
            </a:pPr>
            <a:r>
              <a:rPr lang="en-CA"/>
              <a:t>Net</a:t>
            </a:r>
            <a:r>
              <a:rPr lang="en-CA" baseline="0"/>
              <a:t> Income &amp; Expenses</a:t>
            </a:r>
            <a:endParaRPr lang="en-CA"/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3"/>
          <c:order val="0"/>
          <c:tx>
            <c:strRef>
              <c:f>Historical!$I$1</c:f>
              <c:strCache>
                <c:ptCount val="1"/>
                <c:pt idx="0">
                  <c:v>IPMA fee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Historical!$I$2:$I$13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-2064.89</c:v>
                </c:pt>
                <c:pt idx="3">
                  <c:v>-2381.54</c:v>
                </c:pt>
                <c:pt idx="4">
                  <c:v>-3055.32</c:v>
                </c:pt>
                <c:pt idx="5">
                  <c:v>-4500.0</c:v>
                </c:pt>
                <c:pt idx="6">
                  <c:v>-7056.63</c:v>
                </c:pt>
                <c:pt idx="7">
                  <c:v>-3496.3</c:v>
                </c:pt>
                <c:pt idx="8">
                  <c:v>-4304.42</c:v>
                </c:pt>
              </c:numCache>
            </c:numRef>
          </c:val>
        </c:ser>
        <c:ser>
          <c:idx val="4"/>
          <c:order val="1"/>
          <c:tx>
            <c:strRef>
              <c:f>Historical!$J$1</c:f>
              <c:strCache>
                <c:ptCount val="1"/>
                <c:pt idx="0">
                  <c:v>Advert (net)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Historical!$J$2:$J$13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-2362.9</c:v>
                </c:pt>
                <c:pt idx="4">
                  <c:v>-1639.24</c:v>
                </c:pt>
                <c:pt idx="5">
                  <c:v>0.0</c:v>
                </c:pt>
                <c:pt idx="6">
                  <c:v>-193.28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0"/>
          <c:order val="2"/>
          <c:tx>
            <c:strRef>
              <c:f>Historical!$F$1</c:f>
              <c:strCache>
                <c:ptCount val="1"/>
                <c:pt idx="0">
                  <c:v>Membership (net)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Historical!$F$2:$F$13</c:f>
              <c:numCache>
                <c:formatCode>General</c:formatCode>
                <c:ptCount val="12"/>
                <c:pt idx="0">
                  <c:v>400.0</c:v>
                </c:pt>
                <c:pt idx="1">
                  <c:v>80.0</c:v>
                </c:pt>
                <c:pt idx="2">
                  <c:v>1284.0</c:v>
                </c:pt>
                <c:pt idx="3">
                  <c:v>4068.0</c:v>
                </c:pt>
                <c:pt idx="4">
                  <c:v>3565.0</c:v>
                </c:pt>
                <c:pt idx="5">
                  <c:v>5080.0</c:v>
                </c:pt>
                <c:pt idx="6">
                  <c:v>6630.0</c:v>
                </c:pt>
                <c:pt idx="7">
                  <c:v>4429.0</c:v>
                </c:pt>
                <c:pt idx="8">
                  <c:v>3370.0</c:v>
                </c:pt>
              </c:numCache>
            </c:numRef>
          </c:val>
        </c:ser>
        <c:ser>
          <c:idx val="1"/>
          <c:order val="3"/>
          <c:tx>
            <c:strRef>
              <c:f>Historical!$G$1</c:f>
              <c:strCache>
                <c:ptCount val="1"/>
                <c:pt idx="0">
                  <c:v>Cert-PMAC (net)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Historical!$G$2:$G$13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1200.0</c:v>
                </c:pt>
                <c:pt idx="3">
                  <c:v>6118.6</c:v>
                </c:pt>
                <c:pt idx="4">
                  <c:v>11990.0</c:v>
                </c:pt>
                <c:pt idx="5">
                  <c:v>3772.0</c:v>
                </c:pt>
                <c:pt idx="6">
                  <c:v>8078.6</c:v>
                </c:pt>
                <c:pt idx="7">
                  <c:v>18721.85</c:v>
                </c:pt>
                <c:pt idx="8">
                  <c:v>13039.17</c:v>
                </c:pt>
              </c:numCache>
            </c:numRef>
          </c:val>
        </c:ser>
        <c:ser>
          <c:idx val="2"/>
          <c:order val="4"/>
          <c:tx>
            <c:strRef>
              <c:f>Historical!$H$1</c:f>
              <c:strCache>
                <c:ptCount val="1"/>
                <c:pt idx="0">
                  <c:v>Cert-4LC (net)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Historical!$H$2:$H$13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1283.34</c:v>
                </c:pt>
                <c:pt idx="4">
                  <c:v>478.59</c:v>
                </c:pt>
                <c:pt idx="5">
                  <c:v>-5299.0</c:v>
                </c:pt>
                <c:pt idx="6">
                  <c:v>433.8</c:v>
                </c:pt>
                <c:pt idx="7">
                  <c:v>3999.95</c:v>
                </c:pt>
                <c:pt idx="8">
                  <c:v>2826.51</c:v>
                </c:pt>
              </c:numCache>
            </c:numRef>
          </c:val>
        </c:ser>
        <c:ser>
          <c:idx val="5"/>
          <c:order val="5"/>
          <c:tx>
            <c:strRef>
              <c:f>Historical!$K$1</c:f>
              <c:strCache>
                <c:ptCount val="1"/>
                <c:pt idx="0">
                  <c:v>Other Inc (net)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Historical!$A$2:$A$13</c:f>
              <c:numCache>
                <c:formatCode>General</c:formatCode>
                <c:ptCount val="12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  <c:pt idx="11">
                  <c:v>2018.0</c:v>
                </c:pt>
              </c:numCache>
            </c:numRef>
          </c:cat>
          <c:val>
            <c:numRef>
              <c:f>Historical!$K$2:$K$13</c:f>
              <c:numCache>
                <c:formatCode>General</c:formatCode>
                <c:ptCount val="12"/>
                <c:pt idx="0">
                  <c:v>715.3799999999999</c:v>
                </c:pt>
                <c:pt idx="1">
                  <c:v>7.140000000000001</c:v>
                </c:pt>
                <c:pt idx="2">
                  <c:v>-393.3099999999999</c:v>
                </c:pt>
                <c:pt idx="3">
                  <c:v>-292.0899999999988</c:v>
                </c:pt>
                <c:pt idx="4">
                  <c:v>1751.350000000001</c:v>
                </c:pt>
                <c:pt idx="5">
                  <c:v>-1406.35</c:v>
                </c:pt>
                <c:pt idx="6">
                  <c:v>-10949.2</c:v>
                </c:pt>
                <c:pt idx="7">
                  <c:v>-18135.19</c:v>
                </c:pt>
                <c:pt idx="8">
                  <c:v>10427.64</c:v>
                </c:pt>
              </c:numCache>
            </c:numRef>
          </c:val>
        </c:ser>
        <c:overlap val="100"/>
        <c:axId val="422734376"/>
        <c:axId val="422769672"/>
      </c:barChart>
      <c:catAx>
        <c:axId val="4227343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22769672"/>
        <c:crosses val="autoZero"/>
        <c:auto val="1"/>
        <c:lblAlgn val="ctr"/>
        <c:lblOffset val="100"/>
      </c:catAx>
      <c:valAx>
        <c:axId val="42276967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422734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lang="en-CA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16</xdr:row>
      <xdr:rowOff>76200</xdr:rowOff>
    </xdr:from>
    <xdr:to>
      <xdr:col>10</xdr:col>
      <xdr:colOff>317500</xdr:colOff>
      <xdr:row>30</xdr:row>
      <xdr:rowOff>152400</xdr:rowOff>
    </xdr:to>
    <xdr:graphicFrame macro="">
      <xdr:nvGraphicFramePr>
        <xdr:cNvPr id="276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16</xdr:row>
      <xdr:rowOff>76200</xdr:rowOff>
    </xdr:from>
    <xdr:to>
      <xdr:col>5</xdr:col>
      <xdr:colOff>139700</xdr:colOff>
      <xdr:row>30</xdr:row>
      <xdr:rowOff>152400</xdr:rowOff>
    </xdr:to>
    <xdr:graphicFrame macro="">
      <xdr:nvGraphicFramePr>
        <xdr:cNvPr id="276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673100</xdr:colOff>
      <xdr:row>16</xdr:row>
      <xdr:rowOff>101600</xdr:rowOff>
    </xdr:from>
    <xdr:to>
      <xdr:col>17</xdr:col>
      <xdr:colOff>241300</xdr:colOff>
      <xdr:row>30</xdr:row>
      <xdr:rowOff>177800</xdr:rowOff>
    </xdr:to>
    <xdr:graphicFrame macro="">
      <xdr:nvGraphicFramePr>
        <xdr:cNvPr id="276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8"/>
  <sheetViews>
    <sheetView zoomScale="125" workbookViewId="0">
      <selection activeCell="B33" sqref="B33"/>
    </sheetView>
  </sheetViews>
  <sheetFormatPr baseColWidth="10" defaultColWidth="11.42578125" defaultRowHeight="15"/>
  <cols>
    <col min="2" max="2" width="28" customWidth="1"/>
  </cols>
  <sheetData>
    <row r="1" spans="1:9" ht="35" customHeight="1">
      <c r="A1" s="94" t="s">
        <v>88</v>
      </c>
      <c r="B1" s="94"/>
      <c r="C1" s="94"/>
      <c r="D1" s="94"/>
      <c r="E1" s="94"/>
      <c r="F1" s="94"/>
      <c r="G1" s="94"/>
      <c r="H1" s="94"/>
      <c r="I1" s="94"/>
    </row>
    <row r="2" spans="1:9">
      <c r="B2">
        <v>1.5</v>
      </c>
      <c r="C2" s="25" t="s">
        <v>214</v>
      </c>
      <c r="D2" s="25" t="s">
        <v>467</v>
      </c>
      <c r="E2" t="s">
        <v>257</v>
      </c>
    </row>
    <row r="3" spans="1:9">
      <c r="A3" t="s">
        <v>473</v>
      </c>
      <c r="B3" t="s">
        <v>232</v>
      </c>
      <c r="C3">
        <v>5080</v>
      </c>
      <c r="D3">
        <f t="shared" ref="D3:D11" si="0">C3*$B$2</f>
        <v>7620</v>
      </c>
      <c r="E3">
        <v>7082</v>
      </c>
    </row>
    <row r="4" spans="1:9">
      <c r="B4" t="s">
        <v>373</v>
      </c>
      <c r="C4">
        <v>800</v>
      </c>
      <c r="D4">
        <f t="shared" si="0"/>
        <v>1200</v>
      </c>
    </row>
    <row r="5" spans="1:9">
      <c r="B5" t="s">
        <v>251</v>
      </c>
      <c r="C5">
        <f>20*30</f>
        <v>600</v>
      </c>
      <c r="D5">
        <f t="shared" si="0"/>
        <v>900</v>
      </c>
    </row>
    <row r="6" spans="1:9">
      <c r="B6" t="s">
        <v>25</v>
      </c>
      <c r="C6">
        <f>6*82</f>
        <v>492</v>
      </c>
      <c r="D6">
        <f t="shared" si="0"/>
        <v>738</v>
      </c>
    </row>
    <row r="7" spans="1:9">
      <c r="B7" t="s">
        <v>230</v>
      </c>
      <c r="C7">
        <f>5*66</f>
        <v>330</v>
      </c>
      <c r="D7">
        <f t="shared" si="0"/>
        <v>495</v>
      </c>
    </row>
    <row r="8" spans="1:9">
      <c r="B8" t="s">
        <v>407</v>
      </c>
      <c r="C8">
        <f>3*82</f>
        <v>246</v>
      </c>
      <c r="D8">
        <f t="shared" si="0"/>
        <v>369</v>
      </c>
    </row>
    <row r="9" spans="1:9">
      <c r="B9" t="s">
        <v>183</v>
      </c>
      <c r="C9" t="s">
        <v>233</v>
      </c>
    </row>
    <row r="10" spans="1:9">
      <c r="B10" t="s">
        <v>184</v>
      </c>
      <c r="C10" t="s">
        <v>233</v>
      </c>
    </row>
    <row r="11" spans="1:9">
      <c r="B11" t="s">
        <v>213</v>
      </c>
      <c r="D11">
        <f t="shared" si="0"/>
        <v>0</v>
      </c>
    </row>
    <row r="12" spans="1:9">
      <c r="B12" t="s">
        <v>256</v>
      </c>
      <c r="C12">
        <v>0</v>
      </c>
      <c r="D12">
        <v>0</v>
      </c>
    </row>
    <row r="13" spans="1:9">
      <c r="B13" t="s">
        <v>359</v>
      </c>
      <c r="C13">
        <v>0</v>
      </c>
      <c r="D13">
        <v>0</v>
      </c>
    </row>
    <row r="14" spans="1:9">
      <c r="B14" t="s">
        <v>481</v>
      </c>
      <c r="C14">
        <v>0</v>
      </c>
      <c r="D14">
        <v>0</v>
      </c>
    </row>
    <row r="15" spans="1:9" ht="16" thickBot="1">
      <c r="D15" s="26">
        <f>SUM(D3:D14)</f>
        <v>11322</v>
      </c>
    </row>
    <row r="16" spans="1:9" ht="16" thickTop="1">
      <c r="B16" t="s">
        <v>334</v>
      </c>
    </row>
    <row r="18" spans="1:3">
      <c r="A18" s="48"/>
      <c r="B18" s="48"/>
      <c r="C18" s="48"/>
    </row>
    <row r="20" spans="1:3">
      <c r="A20" t="s">
        <v>247</v>
      </c>
    </row>
    <row r="21" spans="1:3">
      <c r="B21" s="91" t="s">
        <v>67</v>
      </c>
    </row>
    <row r="23" spans="1:3">
      <c r="B23" t="s">
        <v>68</v>
      </c>
    </row>
    <row r="24" spans="1:3">
      <c r="B24" t="s">
        <v>397</v>
      </c>
    </row>
    <row r="25" spans="1:3">
      <c r="B25" t="s">
        <v>491</v>
      </c>
    </row>
    <row r="27" spans="1:3">
      <c r="B27" t="s">
        <v>156</v>
      </c>
    </row>
    <row r="28" spans="1:3">
      <c r="B28" t="s">
        <v>120</v>
      </c>
    </row>
    <row r="30" spans="1:3">
      <c r="B30" t="s">
        <v>369</v>
      </c>
    </row>
    <row r="31" spans="1:3">
      <c r="B31" t="s">
        <v>83</v>
      </c>
    </row>
    <row r="33" spans="1:2">
      <c r="A33" t="s">
        <v>455</v>
      </c>
      <c r="B33" t="s">
        <v>490</v>
      </c>
    </row>
    <row r="38" spans="1:2">
      <c r="A38" t="s">
        <v>96</v>
      </c>
    </row>
  </sheetData>
  <sheetCalcPr fullCalcOnLoad="1"/>
  <mergeCells count="1">
    <mergeCell ref="A1:I1"/>
  </mergeCells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T250"/>
  <sheetViews>
    <sheetView tabSelected="1" topLeftCell="A142" zoomScale="125" zoomScaleNormal="125" zoomScaleSheetLayoutView="75" zoomScalePageLayoutView="125" workbookViewId="0">
      <selection activeCell="E169" sqref="E169"/>
    </sheetView>
  </sheetViews>
  <sheetFormatPr baseColWidth="10" defaultColWidth="6.85546875" defaultRowHeight="15"/>
  <cols>
    <col min="1" max="1" width="8" style="1" customWidth="1"/>
    <col min="2" max="2" width="7.85546875" style="2" bestFit="1" customWidth="1"/>
    <col min="3" max="3" width="8.28515625" style="1" bestFit="1" customWidth="1"/>
    <col min="4" max="4" width="9.7109375" style="2" customWidth="1"/>
    <col min="5" max="5" width="20.28515625" style="1" customWidth="1"/>
    <col min="6" max="6" width="21.5703125" style="1" customWidth="1"/>
    <col min="7" max="7" width="8.28515625" style="1" customWidth="1"/>
    <col min="8" max="8" width="21.7109375" style="1" customWidth="1"/>
    <col min="9" max="9" width="5.42578125" style="1" customWidth="1"/>
    <col min="10" max="254" width="7.42578125" style="1" customWidth="1"/>
  </cols>
  <sheetData>
    <row r="1" spans="1:254" ht="41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254">
      <c r="A2"/>
      <c r="B2"/>
      <c r="C2"/>
      <c r="D2"/>
      <c r="E2"/>
      <c r="F2"/>
      <c r="G2"/>
      <c r="H2"/>
    </row>
    <row r="3" spans="1:254">
      <c r="A3" s="96" t="s">
        <v>11</v>
      </c>
      <c r="B3" s="97"/>
      <c r="C3" s="97"/>
      <c r="D3" s="97"/>
      <c r="E3" s="97"/>
      <c r="F3" s="97"/>
      <c r="G3" s="97"/>
      <c r="H3" s="97"/>
      <c r="I3" s="9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>
      <c r="A4" s="99" t="s">
        <v>424</v>
      </c>
      <c r="B4" s="100"/>
      <c r="C4" s="100"/>
      <c r="D4" s="100"/>
      <c r="E4" s="100"/>
      <c r="F4" s="100"/>
      <c r="G4" s="100"/>
      <c r="H4" s="100"/>
      <c r="I4" s="101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>
      <c r="A5" s="3" t="s">
        <v>150</v>
      </c>
      <c r="B5" s="4" t="s">
        <v>258</v>
      </c>
      <c r="C5" s="3" t="s">
        <v>352</v>
      </c>
      <c r="D5" s="4" t="s">
        <v>103</v>
      </c>
      <c r="E5" s="3" t="s">
        <v>104</v>
      </c>
      <c r="F5" s="3" t="s">
        <v>105</v>
      </c>
      <c r="G5" s="3" t="s">
        <v>113</v>
      </c>
      <c r="H5" s="3" t="s">
        <v>250</v>
      </c>
      <c r="I5" s="3" t="s">
        <v>528</v>
      </c>
    </row>
    <row r="6" spans="1:254">
      <c r="A6" s="5">
        <v>39448</v>
      </c>
      <c r="B6" s="37">
        <v>43575.15</v>
      </c>
      <c r="C6" s="37"/>
      <c r="D6" s="36">
        <f>B6</f>
        <v>43575.15</v>
      </c>
      <c r="E6" s="1" t="s">
        <v>192</v>
      </c>
      <c r="F6" s="1" t="s">
        <v>192</v>
      </c>
      <c r="G6" s="6" t="s">
        <v>202</v>
      </c>
      <c r="H6" s="6" t="s">
        <v>122</v>
      </c>
      <c r="I6" s="1">
        <f t="shared" ref="I6:I37" si="0">VLOOKUP($H6,$H$182:$I$236,2,0)</f>
        <v>90</v>
      </c>
    </row>
    <row r="7" spans="1:254">
      <c r="A7" s="5">
        <v>39448</v>
      </c>
      <c r="B7" s="36">
        <v>1710.18</v>
      </c>
      <c r="C7" s="36"/>
      <c r="D7" s="36">
        <f>D6+B7+C7</f>
        <v>45285.33</v>
      </c>
      <c r="E7" s="1" t="s">
        <v>192</v>
      </c>
      <c r="F7" s="1" t="s">
        <v>192</v>
      </c>
      <c r="G7" s="6" t="s">
        <v>148</v>
      </c>
      <c r="H7" s="6" t="s">
        <v>122</v>
      </c>
      <c r="I7" s="1">
        <f t="shared" si="0"/>
        <v>90</v>
      </c>
    </row>
    <row r="8" spans="1:254">
      <c r="A8" s="5">
        <v>42373</v>
      </c>
      <c r="B8" s="36">
        <v>80</v>
      </c>
      <c r="C8" s="36"/>
      <c r="D8" s="36">
        <f>D7+B8+C8</f>
        <v>45365.33</v>
      </c>
      <c r="E8" s="6" t="s">
        <v>316</v>
      </c>
      <c r="F8" s="6" t="s">
        <v>85</v>
      </c>
      <c r="G8" s="6" t="s">
        <v>317</v>
      </c>
      <c r="H8" s="6" t="s">
        <v>59</v>
      </c>
      <c r="I8" s="1">
        <f t="shared" si="0"/>
        <v>16</v>
      </c>
    </row>
    <row r="9" spans="1:254">
      <c r="A9" s="5">
        <v>42373</v>
      </c>
      <c r="B9" s="36"/>
      <c r="C9" s="36">
        <v>-2.62</v>
      </c>
      <c r="D9" s="36">
        <f t="shared" ref="D9:D17" si="1">D8+B9+C9</f>
        <v>45362.71</v>
      </c>
      <c r="E9" s="6" t="s">
        <v>317</v>
      </c>
      <c r="F9" s="6" t="s">
        <v>263</v>
      </c>
      <c r="G9" s="6" t="s">
        <v>264</v>
      </c>
      <c r="H9" s="6" t="s">
        <v>265</v>
      </c>
      <c r="I9" s="1">
        <f t="shared" si="0"/>
        <v>4</v>
      </c>
    </row>
    <row r="10" spans="1:254">
      <c r="A10" s="5">
        <v>42373</v>
      </c>
      <c r="B10" s="36">
        <v>80</v>
      </c>
      <c r="C10" s="36"/>
      <c r="D10" s="36">
        <f t="shared" si="1"/>
        <v>45442.71</v>
      </c>
      <c r="E10" s="6" t="s">
        <v>176</v>
      </c>
      <c r="F10" s="6" t="s">
        <v>60</v>
      </c>
      <c r="G10" s="6" t="s">
        <v>317</v>
      </c>
      <c r="H10" s="6" t="s">
        <v>59</v>
      </c>
      <c r="I10" s="1">
        <f t="shared" si="0"/>
        <v>16</v>
      </c>
    </row>
    <row r="11" spans="1:254">
      <c r="A11" s="5">
        <v>42373</v>
      </c>
      <c r="B11" s="36"/>
      <c r="C11" s="36">
        <v>-2.62</v>
      </c>
      <c r="D11" s="36">
        <f t="shared" si="1"/>
        <v>45440.09</v>
      </c>
      <c r="E11" s="6" t="s">
        <v>317</v>
      </c>
      <c r="F11" s="6" t="s">
        <v>263</v>
      </c>
      <c r="G11" s="6" t="s">
        <v>264</v>
      </c>
      <c r="H11" s="6" t="s">
        <v>265</v>
      </c>
      <c r="I11" s="1">
        <f t="shared" si="0"/>
        <v>4</v>
      </c>
    </row>
    <row r="12" spans="1:254">
      <c r="A12" s="5">
        <v>42373</v>
      </c>
      <c r="B12" s="36">
        <v>100</v>
      </c>
      <c r="C12" s="36"/>
      <c r="D12" s="36">
        <f t="shared" si="1"/>
        <v>45540.09</v>
      </c>
      <c r="E12" s="6" t="s">
        <v>177</v>
      </c>
      <c r="F12" s="6" t="s">
        <v>85</v>
      </c>
      <c r="G12" s="6" t="s">
        <v>317</v>
      </c>
      <c r="H12" s="6" t="s">
        <v>186</v>
      </c>
      <c r="I12" s="1">
        <f t="shared" si="0"/>
        <v>16</v>
      </c>
    </row>
    <row r="13" spans="1:254">
      <c r="A13" s="5">
        <v>42373</v>
      </c>
      <c r="B13" s="36"/>
      <c r="C13" s="36">
        <v>-3.2</v>
      </c>
      <c r="D13" s="36">
        <f t="shared" si="1"/>
        <v>45536.89</v>
      </c>
      <c r="E13" s="6" t="s">
        <v>317</v>
      </c>
      <c r="F13" s="6" t="s">
        <v>263</v>
      </c>
      <c r="G13" s="6" t="s">
        <v>264</v>
      </c>
      <c r="H13" s="6" t="s">
        <v>265</v>
      </c>
      <c r="I13" s="1">
        <f t="shared" si="0"/>
        <v>4</v>
      </c>
    </row>
    <row r="14" spans="1:254">
      <c r="A14" s="29">
        <v>42380</v>
      </c>
      <c r="B14" s="36"/>
      <c r="C14" s="36">
        <v>-20</v>
      </c>
      <c r="D14" s="36">
        <f t="shared" si="1"/>
        <v>45516.89</v>
      </c>
      <c r="E14" s="6" t="s">
        <v>299</v>
      </c>
      <c r="F14" s="6" t="s">
        <v>315</v>
      </c>
      <c r="G14" s="6" t="s">
        <v>297</v>
      </c>
      <c r="H14" s="6" t="s">
        <v>288</v>
      </c>
      <c r="I14" s="1">
        <f t="shared" si="0"/>
        <v>16</v>
      </c>
    </row>
    <row r="15" spans="1:254">
      <c r="A15" s="5">
        <v>42380</v>
      </c>
      <c r="B15" s="36"/>
      <c r="C15" s="36">
        <v>-1.5</v>
      </c>
      <c r="D15" s="36">
        <f t="shared" si="1"/>
        <v>45515.39</v>
      </c>
      <c r="E15" s="6" t="s">
        <v>298</v>
      </c>
      <c r="F15" s="6" t="s">
        <v>296</v>
      </c>
      <c r="G15" s="6" t="s">
        <v>297</v>
      </c>
      <c r="H15" s="6" t="s">
        <v>351</v>
      </c>
      <c r="I15" s="1">
        <f t="shared" si="0"/>
        <v>4</v>
      </c>
    </row>
    <row r="16" spans="1:254">
      <c r="A16" s="5">
        <v>42388</v>
      </c>
      <c r="B16" s="36">
        <v>200</v>
      </c>
      <c r="C16" s="36"/>
      <c r="D16" s="36">
        <f t="shared" si="1"/>
        <v>45715.39</v>
      </c>
      <c r="E16" s="6" t="s">
        <v>154</v>
      </c>
      <c r="F16" s="6" t="s">
        <v>155</v>
      </c>
      <c r="G16" s="6" t="s">
        <v>287</v>
      </c>
      <c r="H16" s="6" t="s">
        <v>284</v>
      </c>
      <c r="I16" s="1">
        <f t="shared" si="0"/>
        <v>6210</v>
      </c>
    </row>
    <row r="17" spans="1:9">
      <c r="A17" s="5">
        <v>42388</v>
      </c>
      <c r="B17" s="36"/>
      <c r="C17" s="36">
        <v>-6.1</v>
      </c>
      <c r="D17" s="36">
        <f t="shared" si="1"/>
        <v>45709.29</v>
      </c>
      <c r="E17" s="77" t="s">
        <v>148</v>
      </c>
      <c r="F17" s="77" t="s">
        <v>226</v>
      </c>
      <c r="G17" s="77" t="s">
        <v>148</v>
      </c>
      <c r="H17" s="77" t="s">
        <v>351</v>
      </c>
      <c r="I17" s="1">
        <f t="shared" si="0"/>
        <v>4</v>
      </c>
    </row>
    <row r="18" spans="1:9">
      <c r="A18" s="5">
        <v>42403</v>
      </c>
      <c r="B18" s="36">
        <v>80</v>
      </c>
      <c r="C18" s="36"/>
      <c r="D18" s="36">
        <f t="shared" ref="D18:D102" si="2">D17+B18+C18</f>
        <v>45789.29</v>
      </c>
      <c r="E18" s="6" t="s">
        <v>290</v>
      </c>
      <c r="F18" s="6" t="s">
        <v>164</v>
      </c>
      <c r="G18" s="6" t="s">
        <v>163</v>
      </c>
      <c r="H18" s="6" t="s">
        <v>167</v>
      </c>
      <c r="I18" s="1">
        <f t="shared" si="0"/>
        <v>16</v>
      </c>
    </row>
    <row r="19" spans="1:9">
      <c r="A19" s="5">
        <v>42403</v>
      </c>
      <c r="B19" s="36"/>
      <c r="C19" s="36">
        <v>-2.62</v>
      </c>
      <c r="D19" s="36">
        <f t="shared" si="2"/>
        <v>45786.67</v>
      </c>
      <c r="E19" s="6" t="s">
        <v>291</v>
      </c>
      <c r="F19" s="6" t="s">
        <v>292</v>
      </c>
      <c r="G19" s="6" t="s">
        <v>293</v>
      </c>
      <c r="H19" s="6" t="s">
        <v>168</v>
      </c>
      <c r="I19" s="1">
        <f t="shared" si="0"/>
        <v>4</v>
      </c>
    </row>
    <row r="20" spans="1:9">
      <c r="A20" s="5">
        <v>42406</v>
      </c>
      <c r="B20" s="36">
        <v>217.5</v>
      </c>
      <c r="C20" s="36"/>
      <c r="D20" s="36">
        <f t="shared" si="2"/>
        <v>46004.17</v>
      </c>
      <c r="E20" s="6" t="s">
        <v>169</v>
      </c>
      <c r="F20" s="6" t="s">
        <v>170</v>
      </c>
      <c r="G20" s="6" t="s">
        <v>171</v>
      </c>
      <c r="H20" s="6" t="s">
        <v>354</v>
      </c>
      <c r="I20" s="1">
        <f t="shared" si="0"/>
        <v>23</v>
      </c>
    </row>
    <row r="21" spans="1:9">
      <c r="A21" s="5">
        <v>42412</v>
      </c>
      <c r="B21" s="36">
        <v>80</v>
      </c>
      <c r="C21" s="36"/>
      <c r="D21" s="36">
        <f t="shared" si="2"/>
        <v>46084.17</v>
      </c>
      <c r="E21" s="6" t="s">
        <v>419</v>
      </c>
      <c r="F21" s="6" t="s">
        <v>294</v>
      </c>
      <c r="G21" s="6" t="s">
        <v>295</v>
      </c>
      <c r="H21" s="6" t="s">
        <v>165</v>
      </c>
      <c r="I21" s="1">
        <f t="shared" si="0"/>
        <v>16</v>
      </c>
    </row>
    <row r="22" spans="1:9">
      <c r="A22" s="5">
        <v>42412</v>
      </c>
      <c r="B22" s="36"/>
      <c r="C22" s="36">
        <v>-2.62</v>
      </c>
      <c r="D22" s="36">
        <f t="shared" si="2"/>
        <v>46081.549999999996</v>
      </c>
      <c r="E22" s="6" t="s">
        <v>291</v>
      </c>
      <c r="F22" s="6" t="s">
        <v>292</v>
      </c>
      <c r="G22" s="6" t="s">
        <v>293</v>
      </c>
      <c r="H22" s="6" t="s">
        <v>168</v>
      </c>
      <c r="I22" s="1">
        <f t="shared" si="0"/>
        <v>4</v>
      </c>
    </row>
    <row r="23" spans="1:9">
      <c r="A23" s="5">
        <v>42414</v>
      </c>
      <c r="B23" s="36">
        <v>100</v>
      </c>
      <c r="C23" s="36"/>
      <c r="D23" s="36">
        <f t="shared" si="2"/>
        <v>46181.549999999996</v>
      </c>
      <c r="E23" s="6" t="s">
        <v>303</v>
      </c>
      <c r="F23" s="6" t="s">
        <v>294</v>
      </c>
      <c r="G23" s="6" t="s">
        <v>295</v>
      </c>
      <c r="H23" s="6" t="s">
        <v>304</v>
      </c>
      <c r="I23" s="1">
        <f t="shared" si="0"/>
        <v>16</v>
      </c>
    </row>
    <row r="24" spans="1:9">
      <c r="A24" s="5">
        <v>42414</v>
      </c>
      <c r="B24" s="36"/>
      <c r="C24" s="36">
        <v>-4.2</v>
      </c>
      <c r="D24" s="36">
        <f t="shared" si="2"/>
        <v>46177.35</v>
      </c>
      <c r="E24" s="6" t="s">
        <v>291</v>
      </c>
      <c r="F24" s="6" t="s">
        <v>292</v>
      </c>
      <c r="G24" s="6" t="s">
        <v>293</v>
      </c>
      <c r="H24" s="6" t="s">
        <v>168</v>
      </c>
      <c r="I24" s="1">
        <f t="shared" si="0"/>
        <v>4</v>
      </c>
    </row>
    <row r="25" spans="1:9">
      <c r="A25" s="5">
        <v>42418</v>
      </c>
      <c r="B25" s="36">
        <v>100</v>
      </c>
      <c r="C25" s="36"/>
      <c r="D25" s="36">
        <f t="shared" si="2"/>
        <v>46277.35</v>
      </c>
      <c r="E25" s="6" t="s">
        <v>305</v>
      </c>
      <c r="F25" s="6" t="s">
        <v>306</v>
      </c>
      <c r="G25" s="6" t="s">
        <v>295</v>
      </c>
      <c r="H25" s="6" t="s">
        <v>165</v>
      </c>
      <c r="I25" s="1">
        <f t="shared" si="0"/>
        <v>16</v>
      </c>
    </row>
    <row r="26" spans="1:9">
      <c r="A26" s="5">
        <v>42418</v>
      </c>
      <c r="C26" s="36">
        <v>-3.2</v>
      </c>
      <c r="D26" s="36">
        <f t="shared" si="2"/>
        <v>46274.15</v>
      </c>
      <c r="E26" s="6" t="s">
        <v>291</v>
      </c>
      <c r="F26" s="6" t="s">
        <v>292</v>
      </c>
      <c r="G26" s="6" t="s">
        <v>293</v>
      </c>
      <c r="H26" s="6" t="s">
        <v>168</v>
      </c>
      <c r="I26" s="1">
        <f t="shared" si="0"/>
        <v>4</v>
      </c>
    </row>
    <row r="27" spans="1:9">
      <c r="A27" s="5">
        <v>42420</v>
      </c>
      <c r="B27" s="36">
        <v>80</v>
      </c>
      <c r="C27" s="36"/>
      <c r="D27" s="36">
        <f t="shared" si="2"/>
        <v>46354.15</v>
      </c>
      <c r="E27" s="6" t="s">
        <v>307</v>
      </c>
      <c r="F27" s="6" t="s">
        <v>294</v>
      </c>
      <c r="G27" s="6" t="s">
        <v>308</v>
      </c>
      <c r="H27" s="6" t="s">
        <v>165</v>
      </c>
      <c r="I27" s="1">
        <f t="shared" si="0"/>
        <v>16</v>
      </c>
    </row>
    <row r="28" spans="1:9">
      <c r="A28" s="5">
        <v>42420</v>
      </c>
      <c r="B28" s="36"/>
      <c r="C28" s="36">
        <v>-2.62</v>
      </c>
      <c r="D28" s="36">
        <f t="shared" si="2"/>
        <v>46351.53</v>
      </c>
      <c r="E28" s="6" t="s">
        <v>291</v>
      </c>
      <c r="F28" s="6" t="s">
        <v>292</v>
      </c>
      <c r="G28" s="6" t="s">
        <v>293</v>
      </c>
      <c r="H28" s="6" t="s">
        <v>168</v>
      </c>
      <c r="I28" s="1">
        <f t="shared" si="0"/>
        <v>4</v>
      </c>
    </row>
    <row r="29" spans="1:9">
      <c r="A29" s="5">
        <v>42421</v>
      </c>
      <c r="B29" s="36">
        <v>100</v>
      </c>
      <c r="C29" s="36"/>
      <c r="D29" s="36">
        <f t="shared" si="2"/>
        <v>46451.53</v>
      </c>
      <c r="E29" s="6" t="s">
        <v>309</v>
      </c>
      <c r="F29" s="6" t="s">
        <v>294</v>
      </c>
      <c r="G29" s="6" t="s">
        <v>295</v>
      </c>
      <c r="H29" s="6" t="s">
        <v>304</v>
      </c>
      <c r="I29" s="1">
        <f t="shared" si="0"/>
        <v>16</v>
      </c>
    </row>
    <row r="30" spans="1:9">
      <c r="A30" s="5">
        <v>42421</v>
      </c>
      <c r="B30" s="36"/>
      <c r="C30" s="36">
        <v>-3.2</v>
      </c>
      <c r="D30" s="36">
        <f t="shared" si="2"/>
        <v>46448.33</v>
      </c>
      <c r="E30" s="78" t="s">
        <v>148</v>
      </c>
      <c r="F30" s="78" t="s">
        <v>226</v>
      </c>
      <c r="G30" s="78" t="s">
        <v>148</v>
      </c>
      <c r="H30" s="78" t="s">
        <v>351</v>
      </c>
      <c r="I30" s="1">
        <f t="shared" si="0"/>
        <v>4</v>
      </c>
    </row>
    <row r="31" spans="1:9">
      <c r="A31" s="5">
        <v>42422</v>
      </c>
      <c r="B31" s="36">
        <v>80</v>
      </c>
      <c r="C31" s="36"/>
      <c r="D31" s="36">
        <f t="shared" si="2"/>
        <v>46528.33</v>
      </c>
      <c r="E31" s="6" t="s">
        <v>310</v>
      </c>
      <c r="F31" s="6" t="s">
        <v>294</v>
      </c>
      <c r="G31" s="6" t="s">
        <v>295</v>
      </c>
      <c r="H31" s="6" t="s">
        <v>304</v>
      </c>
      <c r="I31" s="1">
        <f t="shared" si="0"/>
        <v>16</v>
      </c>
    </row>
    <row r="32" spans="1:9">
      <c r="A32" s="5">
        <v>42422</v>
      </c>
      <c r="B32" s="36"/>
      <c r="C32" s="36">
        <v>-2.62</v>
      </c>
      <c r="D32" s="36">
        <f t="shared" si="2"/>
        <v>46525.71</v>
      </c>
      <c r="E32" s="78" t="s">
        <v>148</v>
      </c>
      <c r="F32" s="78" t="s">
        <v>226</v>
      </c>
      <c r="G32" s="78" t="s">
        <v>148</v>
      </c>
      <c r="H32" s="78" t="s">
        <v>351</v>
      </c>
      <c r="I32" s="1">
        <f t="shared" si="0"/>
        <v>4</v>
      </c>
    </row>
    <row r="33" spans="1:9">
      <c r="A33" s="5">
        <v>42423</v>
      </c>
      <c r="B33" s="36">
        <v>100</v>
      </c>
      <c r="C33" s="36"/>
      <c r="D33" s="36">
        <f t="shared" si="2"/>
        <v>46625.71</v>
      </c>
      <c r="E33" s="6" t="s">
        <v>311</v>
      </c>
      <c r="F33" s="6" t="s">
        <v>294</v>
      </c>
      <c r="G33" s="6" t="s">
        <v>295</v>
      </c>
      <c r="H33" s="6" t="s">
        <v>165</v>
      </c>
      <c r="I33" s="1">
        <f t="shared" si="0"/>
        <v>16</v>
      </c>
    </row>
    <row r="34" spans="1:9">
      <c r="A34" s="5">
        <v>42423</v>
      </c>
      <c r="B34" s="36"/>
      <c r="C34" s="36">
        <v>-3.2</v>
      </c>
      <c r="D34" s="36">
        <f t="shared" si="2"/>
        <v>46622.51</v>
      </c>
      <c r="E34" s="78" t="s">
        <v>148</v>
      </c>
      <c r="F34" s="78" t="s">
        <v>226</v>
      </c>
      <c r="G34" s="78" t="s">
        <v>148</v>
      </c>
      <c r="H34" s="78" t="s">
        <v>351</v>
      </c>
      <c r="I34" s="1">
        <f t="shared" si="0"/>
        <v>4</v>
      </c>
    </row>
    <row r="35" spans="1:9">
      <c r="A35" s="5">
        <v>42427</v>
      </c>
      <c r="B35" s="36">
        <v>127.45</v>
      </c>
      <c r="C35" s="36"/>
      <c r="D35" s="36">
        <f t="shared" si="2"/>
        <v>46749.96</v>
      </c>
      <c r="E35" s="6" t="s">
        <v>244</v>
      </c>
      <c r="F35" s="6" t="s">
        <v>124</v>
      </c>
      <c r="G35" s="6" t="s">
        <v>295</v>
      </c>
      <c r="H35" s="6" t="s">
        <v>76</v>
      </c>
      <c r="I35" s="1">
        <f t="shared" si="0"/>
        <v>401</v>
      </c>
    </row>
    <row r="36" spans="1:9">
      <c r="A36" s="5">
        <v>42427</v>
      </c>
      <c r="B36" s="36"/>
      <c r="C36" s="36">
        <v>-689.85</v>
      </c>
      <c r="D36" s="36">
        <f t="shared" si="2"/>
        <v>46060.11</v>
      </c>
      <c r="E36" s="6" t="s">
        <v>20</v>
      </c>
      <c r="F36" s="6" t="s">
        <v>18</v>
      </c>
      <c r="G36" s="6" t="s">
        <v>19</v>
      </c>
      <c r="H36" s="6" t="s">
        <v>412</v>
      </c>
      <c r="I36" s="1">
        <f t="shared" si="0"/>
        <v>501</v>
      </c>
    </row>
    <row r="37" spans="1:9">
      <c r="A37" s="5">
        <v>42427</v>
      </c>
      <c r="B37" s="36"/>
      <c r="C37" s="36">
        <v>-1.5</v>
      </c>
      <c r="D37" s="36">
        <f t="shared" si="2"/>
        <v>46058.61</v>
      </c>
      <c r="E37" s="6" t="s">
        <v>298</v>
      </c>
      <c r="F37" s="6" t="s">
        <v>296</v>
      </c>
      <c r="G37" s="6" t="s">
        <v>19</v>
      </c>
      <c r="H37" s="6" t="s">
        <v>351</v>
      </c>
      <c r="I37" s="1">
        <f t="shared" si="0"/>
        <v>4</v>
      </c>
    </row>
    <row r="38" spans="1:9">
      <c r="A38" s="5">
        <v>42427</v>
      </c>
      <c r="B38" s="36">
        <v>80</v>
      </c>
      <c r="C38" s="36"/>
      <c r="D38" s="36">
        <f t="shared" si="2"/>
        <v>46138.61</v>
      </c>
      <c r="E38" s="6" t="s">
        <v>445</v>
      </c>
      <c r="F38" s="6" t="s">
        <v>446</v>
      </c>
      <c r="G38" s="6" t="s">
        <v>447</v>
      </c>
      <c r="H38" s="6" t="s">
        <v>448</v>
      </c>
      <c r="I38" s="1">
        <f t="shared" ref="I38:I69" si="3">VLOOKUP($H38,$H$182:$I$236,2,0)</f>
        <v>16</v>
      </c>
    </row>
    <row r="39" spans="1:9">
      <c r="A39" s="5">
        <v>42427</v>
      </c>
      <c r="B39" s="36"/>
      <c r="C39" s="36">
        <v>-2.62</v>
      </c>
      <c r="D39" s="36">
        <f t="shared" si="2"/>
        <v>46135.99</v>
      </c>
      <c r="E39" s="79" t="s">
        <v>148</v>
      </c>
      <c r="F39" s="79" t="s">
        <v>226</v>
      </c>
      <c r="G39" s="79" t="s">
        <v>148</v>
      </c>
      <c r="H39" s="79" t="s">
        <v>351</v>
      </c>
      <c r="I39" s="1">
        <f t="shared" si="3"/>
        <v>4</v>
      </c>
    </row>
    <row r="40" spans="1:9">
      <c r="A40" s="5">
        <v>42451</v>
      </c>
      <c r="B40" s="36">
        <v>100</v>
      </c>
      <c r="C40" s="36"/>
      <c r="D40" s="36">
        <f t="shared" si="2"/>
        <v>46235.99</v>
      </c>
      <c r="E40" s="6" t="s">
        <v>478</v>
      </c>
      <c r="F40" s="6" t="s">
        <v>446</v>
      </c>
      <c r="G40" s="6" t="s">
        <v>447</v>
      </c>
      <c r="H40" s="6" t="s">
        <v>448</v>
      </c>
      <c r="I40" s="1">
        <f t="shared" si="3"/>
        <v>16</v>
      </c>
    </row>
    <row r="41" spans="1:9">
      <c r="A41" s="5">
        <v>42451</v>
      </c>
      <c r="B41" s="36"/>
      <c r="C41" s="36">
        <v>-3.2</v>
      </c>
      <c r="D41" s="36">
        <f t="shared" si="2"/>
        <v>46232.79</v>
      </c>
      <c r="E41" s="79" t="s">
        <v>148</v>
      </c>
      <c r="F41" s="79" t="s">
        <v>226</v>
      </c>
      <c r="G41" s="79" t="s">
        <v>148</v>
      </c>
      <c r="H41" s="79" t="s">
        <v>351</v>
      </c>
      <c r="I41" s="1">
        <f t="shared" si="3"/>
        <v>4</v>
      </c>
    </row>
    <row r="42" spans="1:9">
      <c r="A42" s="5">
        <v>42452</v>
      </c>
      <c r="B42" s="36">
        <v>150</v>
      </c>
      <c r="C42" s="36"/>
      <c r="D42" s="36">
        <f t="shared" si="2"/>
        <v>46382.79</v>
      </c>
      <c r="E42" s="6" t="s">
        <v>479</v>
      </c>
      <c r="F42" s="6" t="s">
        <v>246</v>
      </c>
      <c r="G42" s="6" t="s">
        <v>447</v>
      </c>
      <c r="H42" s="6" t="s">
        <v>480</v>
      </c>
      <c r="I42" s="1">
        <f t="shared" si="3"/>
        <v>6120</v>
      </c>
    </row>
    <row r="43" spans="1:9">
      <c r="A43" s="5">
        <v>42452</v>
      </c>
      <c r="B43" s="36"/>
      <c r="C43" s="36">
        <v>-4.6500000000000004</v>
      </c>
      <c r="D43" s="36">
        <f t="shared" si="2"/>
        <v>46378.14</v>
      </c>
      <c r="E43" s="79" t="s">
        <v>148</v>
      </c>
      <c r="F43" s="79" t="s">
        <v>226</v>
      </c>
      <c r="G43" s="79" t="s">
        <v>148</v>
      </c>
      <c r="H43" s="79" t="s">
        <v>351</v>
      </c>
      <c r="I43" s="1">
        <f t="shared" si="3"/>
        <v>4</v>
      </c>
    </row>
    <row r="44" spans="1:9">
      <c r="A44" s="5">
        <v>42452</v>
      </c>
      <c r="B44" s="36">
        <v>100</v>
      </c>
      <c r="C44" s="36"/>
      <c r="D44" s="36">
        <f t="shared" si="2"/>
        <v>46478.14</v>
      </c>
      <c r="E44" s="6" t="s">
        <v>479</v>
      </c>
      <c r="F44" s="6" t="s">
        <v>446</v>
      </c>
      <c r="G44" s="6" t="s">
        <v>447</v>
      </c>
      <c r="H44" s="6" t="s">
        <v>448</v>
      </c>
      <c r="I44" s="1">
        <f t="shared" si="3"/>
        <v>16</v>
      </c>
    </row>
    <row r="45" spans="1:9">
      <c r="A45" s="5">
        <v>42452</v>
      </c>
      <c r="B45" s="36"/>
      <c r="C45" s="36">
        <v>-3.2</v>
      </c>
      <c r="D45" s="36">
        <f t="shared" si="2"/>
        <v>46474.94</v>
      </c>
      <c r="E45" s="79" t="s">
        <v>148</v>
      </c>
      <c r="F45" s="79" t="s">
        <v>226</v>
      </c>
      <c r="G45" s="79" t="s">
        <v>148</v>
      </c>
      <c r="H45" s="79" t="s">
        <v>351</v>
      </c>
      <c r="I45" s="1">
        <f t="shared" si="3"/>
        <v>4</v>
      </c>
    </row>
    <row r="46" spans="1:9">
      <c r="A46" s="5">
        <v>42456</v>
      </c>
      <c r="B46" s="36">
        <v>80</v>
      </c>
      <c r="C46" s="36"/>
      <c r="D46" s="36">
        <f t="shared" si="2"/>
        <v>46554.94</v>
      </c>
      <c r="E46" s="6" t="s">
        <v>385</v>
      </c>
      <c r="F46" s="6" t="s">
        <v>386</v>
      </c>
      <c r="G46" s="6" t="s">
        <v>447</v>
      </c>
      <c r="H46" s="6" t="s">
        <v>448</v>
      </c>
      <c r="I46" s="1">
        <f t="shared" si="3"/>
        <v>16</v>
      </c>
    </row>
    <row r="47" spans="1:9">
      <c r="A47" s="5">
        <v>42456</v>
      </c>
      <c r="B47" s="36"/>
      <c r="C47" s="36">
        <v>-2.62</v>
      </c>
      <c r="D47" s="36">
        <f t="shared" si="2"/>
        <v>46552.32</v>
      </c>
      <c r="E47" s="79" t="s">
        <v>148</v>
      </c>
      <c r="F47" s="79" t="s">
        <v>226</v>
      </c>
      <c r="G47" s="79" t="s">
        <v>148</v>
      </c>
      <c r="H47" s="79" t="s">
        <v>351</v>
      </c>
      <c r="I47" s="1">
        <f t="shared" si="3"/>
        <v>4</v>
      </c>
    </row>
    <row r="48" spans="1:9">
      <c r="A48" s="5">
        <v>42460</v>
      </c>
      <c r="B48" s="36">
        <v>100</v>
      </c>
      <c r="C48" s="36"/>
      <c r="D48" s="36">
        <f t="shared" si="2"/>
        <v>46652.32</v>
      </c>
      <c r="E48" s="6" t="s">
        <v>415</v>
      </c>
      <c r="F48" s="6" t="s">
        <v>446</v>
      </c>
      <c r="G48" s="6" t="s">
        <v>447</v>
      </c>
      <c r="H48" s="6" t="s">
        <v>448</v>
      </c>
      <c r="I48" s="1">
        <f t="shared" si="3"/>
        <v>16</v>
      </c>
    </row>
    <row r="49" spans="1:9">
      <c r="A49" s="5">
        <v>42460</v>
      </c>
      <c r="B49" s="36"/>
      <c r="C49" s="36">
        <v>-3.2</v>
      </c>
      <c r="D49" s="36">
        <f t="shared" si="2"/>
        <v>46649.120000000003</v>
      </c>
      <c r="E49" s="79" t="s">
        <v>148</v>
      </c>
      <c r="F49" s="79" t="s">
        <v>226</v>
      </c>
      <c r="G49" s="79" t="s">
        <v>148</v>
      </c>
      <c r="H49" s="79" t="s">
        <v>351</v>
      </c>
      <c r="I49" s="1">
        <f t="shared" si="3"/>
        <v>4</v>
      </c>
    </row>
    <row r="50" spans="1:9">
      <c r="A50" s="5">
        <v>42464</v>
      </c>
      <c r="B50" s="36">
        <v>100</v>
      </c>
      <c r="C50" s="36"/>
      <c r="D50" s="36">
        <f t="shared" si="2"/>
        <v>46749.120000000003</v>
      </c>
      <c r="E50" s="6" t="s">
        <v>416</v>
      </c>
      <c r="F50" s="6" t="s">
        <v>417</v>
      </c>
      <c r="G50" s="6" t="s">
        <v>447</v>
      </c>
      <c r="H50" s="6" t="s">
        <v>448</v>
      </c>
      <c r="I50" s="1">
        <f t="shared" si="3"/>
        <v>16</v>
      </c>
    </row>
    <row r="51" spans="1:9">
      <c r="A51" s="5">
        <v>42464</v>
      </c>
      <c r="B51" s="36"/>
      <c r="C51" s="36">
        <v>-3.2</v>
      </c>
      <c r="D51" s="36">
        <f t="shared" si="2"/>
        <v>46745.920000000006</v>
      </c>
      <c r="E51" s="79" t="s">
        <v>148</v>
      </c>
      <c r="F51" s="79" t="s">
        <v>226</v>
      </c>
      <c r="G51" s="79" t="s">
        <v>148</v>
      </c>
      <c r="H51" s="79" t="s">
        <v>351</v>
      </c>
      <c r="I51" s="1">
        <f t="shared" si="3"/>
        <v>4</v>
      </c>
    </row>
    <row r="52" spans="1:9">
      <c r="A52" s="5">
        <v>42467</v>
      </c>
      <c r="B52" s="36">
        <v>25</v>
      </c>
      <c r="C52" s="36"/>
      <c r="D52" s="36">
        <f t="shared" si="2"/>
        <v>46770.920000000006</v>
      </c>
      <c r="E52" s="6" t="s">
        <v>418</v>
      </c>
      <c r="F52" s="6" t="s">
        <v>446</v>
      </c>
      <c r="G52" s="6" t="s">
        <v>447</v>
      </c>
      <c r="H52" s="6" t="s">
        <v>448</v>
      </c>
      <c r="I52" s="1">
        <f t="shared" si="3"/>
        <v>16</v>
      </c>
    </row>
    <row r="53" spans="1:9">
      <c r="A53" s="5">
        <v>42467</v>
      </c>
      <c r="B53" s="36"/>
      <c r="C53" s="36">
        <v>-1.03</v>
      </c>
      <c r="D53" s="36">
        <f t="shared" si="2"/>
        <v>46769.890000000007</v>
      </c>
      <c r="E53" s="79" t="s">
        <v>148</v>
      </c>
      <c r="F53" s="79" t="s">
        <v>226</v>
      </c>
      <c r="G53" s="79" t="s">
        <v>148</v>
      </c>
      <c r="H53" s="79" t="s">
        <v>351</v>
      </c>
      <c r="I53" s="1">
        <f t="shared" si="3"/>
        <v>4</v>
      </c>
    </row>
    <row r="54" spans="1:9">
      <c r="A54" s="5">
        <v>42484</v>
      </c>
      <c r="B54" s="36">
        <v>80</v>
      </c>
      <c r="C54" s="36"/>
      <c r="D54" s="36">
        <f t="shared" si="2"/>
        <v>46849.890000000007</v>
      </c>
      <c r="E54" s="6" t="s">
        <v>422</v>
      </c>
      <c r="F54" s="6" t="s">
        <v>446</v>
      </c>
      <c r="G54" s="6" t="s">
        <v>447</v>
      </c>
      <c r="H54" s="6" t="s">
        <v>423</v>
      </c>
      <c r="I54" s="1">
        <f t="shared" si="3"/>
        <v>16</v>
      </c>
    </row>
    <row r="55" spans="1:9">
      <c r="A55" s="5">
        <v>42484</v>
      </c>
      <c r="B55" s="36"/>
      <c r="C55" s="36">
        <v>-2.62</v>
      </c>
      <c r="D55" s="36">
        <f t="shared" si="2"/>
        <v>46847.270000000004</v>
      </c>
      <c r="E55" s="79" t="s">
        <v>148</v>
      </c>
      <c r="F55" s="79" t="s">
        <v>226</v>
      </c>
      <c r="G55" s="79" t="s">
        <v>148</v>
      </c>
      <c r="H55" s="79" t="s">
        <v>351</v>
      </c>
      <c r="I55" s="1">
        <f t="shared" si="3"/>
        <v>4</v>
      </c>
    </row>
    <row r="56" spans="1:9">
      <c r="A56" s="5">
        <v>42500</v>
      </c>
      <c r="B56" s="36">
        <v>25</v>
      </c>
      <c r="C56" s="36"/>
      <c r="D56" s="36">
        <f t="shared" si="2"/>
        <v>46872.270000000004</v>
      </c>
      <c r="E56" s="6" t="s">
        <v>86</v>
      </c>
      <c r="F56" s="6" t="s">
        <v>446</v>
      </c>
      <c r="G56" s="6" t="s">
        <v>447</v>
      </c>
      <c r="H56" s="6" t="s">
        <v>221</v>
      </c>
      <c r="I56" s="1">
        <f t="shared" si="3"/>
        <v>16</v>
      </c>
    </row>
    <row r="57" spans="1:9">
      <c r="A57" s="5">
        <v>42500</v>
      </c>
      <c r="B57" s="36"/>
      <c r="C57" s="36">
        <v>-1.03</v>
      </c>
      <c r="D57" s="36">
        <f t="shared" si="2"/>
        <v>46871.240000000005</v>
      </c>
      <c r="E57" s="80" t="s">
        <v>148</v>
      </c>
      <c r="F57" s="80" t="s">
        <v>226</v>
      </c>
      <c r="G57" s="80" t="s">
        <v>148</v>
      </c>
      <c r="H57" s="80" t="s">
        <v>351</v>
      </c>
      <c r="I57" s="1">
        <f t="shared" si="3"/>
        <v>4</v>
      </c>
    </row>
    <row r="58" spans="1:9">
      <c r="A58" s="5">
        <v>42504</v>
      </c>
      <c r="B58" s="36">
        <v>507.5</v>
      </c>
      <c r="C58" s="36"/>
      <c r="D58" s="36">
        <f t="shared" si="2"/>
        <v>47378.740000000005</v>
      </c>
      <c r="E58" s="6" t="s">
        <v>237</v>
      </c>
      <c r="F58" s="6" t="s">
        <v>170</v>
      </c>
      <c r="G58" s="6" t="s">
        <v>297</v>
      </c>
      <c r="H58" s="6" t="s">
        <v>354</v>
      </c>
      <c r="I58" s="1">
        <f t="shared" si="3"/>
        <v>23</v>
      </c>
    </row>
    <row r="59" spans="1:9">
      <c r="A59" s="5">
        <v>42504</v>
      </c>
      <c r="B59" s="36">
        <v>500</v>
      </c>
      <c r="C59" s="36"/>
      <c r="D59" s="36">
        <f t="shared" si="2"/>
        <v>47878.740000000005</v>
      </c>
      <c r="E59" s="6" t="s">
        <v>240</v>
      </c>
      <c r="F59" s="6" t="s">
        <v>239</v>
      </c>
      <c r="G59" s="6" t="s">
        <v>238</v>
      </c>
      <c r="H59" s="6" t="s">
        <v>245</v>
      </c>
      <c r="I59" s="1">
        <f t="shared" si="3"/>
        <v>6010</v>
      </c>
    </row>
    <row r="60" spans="1:9">
      <c r="A60" s="5">
        <v>42511</v>
      </c>
      <c r="B60" s="36">
        <v>2300</v>
      </c>
      <c r="C60" s="36"/>
      <c r="D60" s="36">
        <f t="shared" si="2"/>
        <v>50178.740000000005</v>
      </c>
      <c r="E60" s="6" t="s">
        <v>463</v>
      </c>
      <c r="F60" s="6" t="s">
        <v>239</v>
      </c>
      <c r="G60" s="6" t="s">
        <v>238</v>
      </c>
      <c r="H60" s="6" t="s">
        <v>464</v>
      </c>
      <c r="I60" s="1">
        <f t="shared" si="3"/>
        <v>6010</v>
      </c>
    </row>
    <row r="61" spans="1:9">
      <c r="A61" s="5">
        <v>42513</v>
      </c>
      <c r="B61" s="36">
        <v>80</v>
      </c>
      <c r="C61" s="36"/>
      <c r="D61" s="36">
        <f t="shared" si="2"/>
        <v>50258.740000000005</v>
      </c>
      <c r="E61" s="6" t="s">
        <v>110</v>
      </c>
      <c r="F61" s="6" t="s">
        <v>446</v>
      </c>
      <c r="G61" s="6" t="s">
        <v>447</v>
      </c>
      <c r="H61" s="6" t="s">
        <v>446</v>
      </c>
      <c r="I61" s="1">
        <f t="shared" si="3"/>
        <v>16</v>
      </c>
    </row>
    <row r="62" spans="1:9">
      <c r="A62" s="5">
        <v>42513</v>
      </c>
      <c r="B62" s="36"/>
      <c r="C62" s="36">
        <v>-2.62</v>
      </c>
      <c r="D62" s="36">
        <f t="shared" si="2"/>
        <v>50256.12</v>
      </c>
      <c r="E62" s="81" t="s">
        <v>148</v>
      </c>
      <c r="F62" s="81" t="s">
        <v>226</v>
      </c>
      <c r="G62" s="81" t="s">
        <v>148</v>
      </c>
      <c r="H62" s="81" t="s">
        <v>351</v>
      </c>
      <c r="I62" s="1">
        <f t="shared" si="3"/>
        <v>4</v>
      </c>
    </row>
    <row r="63" spans="1:9">
      <c r="A63" s="5">
        <v>42515</v>
      </c>
      <c r="B63" s="36">
        <v>25</v>
      </c>
      <c r="C63" s="36"/>
      <c r="D63" s="36">
        <f t="shared" si="2"/>
        <v>50281.120000000003</v>
      </c>
      <c r="E63" s="6" t="s">
        <v>111</v>
      </c>
      <c r="F63" s="6" t="s">
        <v>446</v>
      </c>
      <c r="G63" s="6" t="s">
        <v>447</v>
      </c>
      <c r="H63" s="6" t="s">
        <v>14</v>
      </c>
      <c r="I63" s="1">
        <f t="shared" si="3"/>
        <v>16</v>
      </c>
    </row>
    <row r="64" spans="1:9">
      <c r="A64" s="5">
        <v>42515</v>
      </c>
      <c r="B64" s="36"/>
      <c r="C64" s="36">
        <v>-1.03</v>
      </c>
      <c r="D64" s="36">
        <f t="shared" si="2"/>
        <v>50280.090000000004</v>
      </c>
      <c r="E64" s="81" t="s">
        <v>148</v>
      </c>
      <c r="F64" s="81" t="s">
        <v>226</v>
      </c>
      <c r="G64" s="81" t="s">
        <v>148</v>
      </c>
      <c r="H64" s="81" t="s">
        <v>351</v>
      </c>
      <c r="I64" s="1">
        <f t="shared" si="3"/>
        <v>4</v>
      </c>
    </row>
    <row r="65" spans="1:14">
      <c r="A65" s="5">
        <v>42518</v>
      </c>
      <c r="B65" s="36">
        <v>122.95</v>
      </c>
      <c r="C65" s="36"/>
      <c r="D65" s="36">
        <f t="shared" si="2"/>
        <v>50403.040000000001</v>
      </c>
      <c r="E65" s="6" t="s">
        <v>98</v>
      </c>
      <c r="F65" s="6" t="s">
        <v>124</v>
      </c>
      <c r="G65" s="6" t="s">
        <v>324</v>
      </c>
      <c r="H65" s="6" t="s">
        <v>76</v>
      </c>
      <c r="I65" s="1">
        <f t="shared" si="3"/>
        <v>401</v>
      </c>
    </row>
    <row r="66" spans="1:14">
      <c r="A66" s="5">
        <v>42518</v>
      </c>
      <c r="B66" s="36"/>
      <c r="C66" s="36">
        <v>-1198.6500000000001</v>
      </c>
      <c r="D66" s="36">
        <f t="shared" si="2"/>
        <v>49204.39</v>
      </c>
      <c r="E66" s="6" t="s">
        <v>401</v>
      </c>
      <c r="F66" s="88" t="s">
        <v>499</v>
      </c>
      <c r="G66" s="83" t="s">
        <v>171</v>
      </c>
      <c r="H66" s="83" t="s">
        <v>412</v>
      </c>
      <c r="I66" s="1">
        <f t="shared" si="3"/>
        <v>501</v>
      </c>
    </row>
    <row r="67" spans="1:14">
      <c r="A67" s="5">
        <v>42518</v>
      </c>
      <c r="B67" s="36"/>
      <c r="C67" s="36">
        <v>-98.88</v>
      </c>
      <c r="D67" s="36">
        <f t="shared" si="2"/>
        <v>49105.51</v>
      </c>
      <c r="E67" s="6" t="s">
        <v>414</v>
      </c>
      <c r="F67" s="82" t="s">
        <v>439</v>
      </c>
      <c r="G67" s="6" t="s">
        <v>238</v>
      </c>
      <c r="H67" s="6" t="s">
        <v>413</v>
      </c>
      <c r="I67" s="1">
        <f t="shared" si="3"/>
        <v>5121</v>
      </c>
      <c r="N67" s="2"/>
    </row>
    <row r="68" spans="1:14">
      <c r="A68" s="5">
        <v>42518</v>
      </c>
      <c r="B68" s="36"/>
      <c r="C68" s="36">
        <v>-25</v>
      </c>
      <c r="D68" s="36">
        <f t="shared" si="2"/>
        <v>49080.51</v>
      </c>
      <c r="E68" s="6" t="s">
        <v>400</v>
      </c>
      <c r="F68" s="83" t="s">
        <v>402</v>
      </c>
      <c r="G68" s="6" t="s">
        <v>238</v>
      </c>
      <c r="H68" s="6" t="s">
        <v>411</v>
      </c>
      <c r="I68" s="1">
        <f t="shared" si="3"/>
        <v>4</v>
      </c>
      <c r="N68" s="2"/>
    </row>
    <row r="69" spans="1:14">
      <c r="A69" s="5">
        <v>42533</v>
      </c>
      <c r="B69" s="36">
        <v>80</v>
      </c>
      <c r="C69" s="36"/>
      <c r="D69" s="36">
        <f t="shared" si="2"/>
        <v>49160.51</v>
      </c>
      <c r="E69" s="83" t="s">
        <v>344</v>
      </c>
      <c r="F69" s="83" t="s">
        <v>346</v>
      </c>
      <c r="G69" s="83" t="s">
        <v>347</v>
      </c>
      <c r="H69" s="83" t="s">
        <v>348</v>
      </c>
      <c r="I69" s="1">
        <f t="shared" si="3"/>
        <v>16</v>
      </c>
      <c r="N69" s="73"/>
    </row>
    <row r="70" spans="1:14">
      <c r="A70" s="5">
        <v>42533</v>
      </c>
      <c r="B70" s="36"/>
      <c r="C70" s="36">
        <v>-2.62</v>
      </c>
      <c r="D70" s="36">
        <f t="shared" si="2"/>
        <v>49157.89</v>
      </c>
      <c r="E70" s="84" t="s">
        <v>148</v>
      </c>
      <c r="F70" s="84" t="s">
        <v>226</v>
      </c>
      <c r="G70" s="84" t="s">
        <v>148</v>
      </c>
      <c r="H70" s="84" t="s">
        <v>351</v>
      </c>
      <c r="I70" s="1">
        <f t="shared" ref="I70:I100" si="4">VLOOKUP($H70,$H$182:$I$236,2,0)</f>
        <v>4</v>
      </c>
      <c r="N70" s="73"/>
    </row>
    <row r="71" spans="1:14">
      <c r="A71" s="5">
        <v>42544</v>
      </c>
      <c r="B71" s="36">
        <v>80</v>
      </c>
      <c r="C71" s="36"/>
      <c r="D71" s="36">
        <f t="shared" si="2"/>
        <v>49237.89</v>
      </c>
      <c r="E71" s="83" t="s">
        <v>345</v>
      </c>
      <c r="F71" s="83" t="s">
        <v>349</v>
      </c>
      <c r="G71" s="83" t="s">
        <v>347</v>
      </c>
      <c r="H71" s="83" t="s">
        <v>348</v>
      </c>
      <c r="I71" s="1">
        <f t="shared" si="4"/>
        <v>16</v>
      </c>
      <c r="N71" s="73"/>
    </row>
    <row r="72" spans="1:14">
      <c r="A72" s="5">
        <v>42544</v>
      </c>
      <c r="B72" s="36"/>
      <c r="C72" s="36">
        <v>-2.62</v>
      </c>
      <c r="D72" s="36">
        <f t="shared" si="2"/>
        <v>49235.27</v>
      </c>
      <c r="E72" s="84" t="s">
        <v>148</v>
      </c>
      <c r="F72" s="84" t="s">
        <v>226</v>
      </c>
      <c r="G72" s="84" t="s">
        <v>148</v>
      </c>
      <c r="H72" s="84" t="s">
        <v>351</v>
      </c>
      <c r="I72" s="1">
        <f t="shared" si="4"/>
        <v>4</v>
      </c>
      <c r="N72" s="73"/>
    </row>
    <row r="73" spans="1:14">
      <c r="A73" s="5">
        <v>42549</v>
      </c>
      <c r="B73" s="36">
        <v>80</v>
      </c>
      <c r="C73" s="36"/>
      <c r="D73" s="36">
        <f t="shared" si="2"/>
        <v>49315.27</v>
      </c>
      <c r="E73" s="83" t="s">
        <v>529</v>
      </c>
      <c r="F73" s="83" t="s">
        <v>530</v>
      </c>
      <c r="G73" s="83" t="s">
        <v>531</v>
      </c>
      <c r="H73" s="83" t="s">
        <v>532</v>
      </c>
      <c r="I73" s="1">
        <f t="shared" si="4"/>
        <v>16</v>
      </c>
      <c r="N73" s="73"/>
    </row>
    <row r="74" spans="1:14">
      <c r="A74" s="5">
        <v>42549</v>
      </c>
      <c r="B74" s="36"/>
      <c r="C74" s="36">
        <v>-2.62</v>
      </c>
      <c r="D74" s="36">
        <f t="shared" si="2"/>
        <v>49312.649999999994</v>
      </c>
      <c r="E74" s="85" t="s">
        <v>148</v>
      </c>
      <c r="F74" s="85" t="s">
        <v>226</v>
      </c>
      <c r="G74" s="85" t="s">
        <v>148</v>
      </c>
      <c r="H74" s="85" t="s">
        <v>351</v>
      </c>
      <c r="I74" s="1">
        <f t="shared" si="4"/>
        <v>4</v>
      </c>
      <c r="N74" s="73"/>
    </row>
    <row r="75" spans="1:14">
      <c r="A75" s="5">
        <v>42558</v>
      </c>
      <c r="B75" s="36">
        <v>25</v>
      </c>
      <c r="C75" s="36"/>
      <c r="D75" s="36">
        <f t="shared" si="2"/>
        <v>49337.649999999994</v>
      </c>
      <c r="E75" s="83" t="s">
        <v>533</v>
      </c>
      <c r="F75" s="83" t="s">
        <v>530</v>
      </c>
      <c r="G75" s="83" t="s">
        <v>531</v>
      </c>
      <c r="H75" s="83" t="s">
        <v>532</v>
      </c>
      <c r="I75" s="1">
        <f t="shared" si="4"/>
        <v>16</v>
      </c>
      <c r="N75" s="73"/>
    </row>
    <row r="76" spans="1:14">
      <c r="A76" s="5">
        <v>42558</v>
      </c>
      <c r="B76" s="36"/>
      <c r="C76" s="36">
        <v>-1.03</v>
      </c>
      <c r="D76" s="36">
        <f t="shared" si="2"/>
        <v>49336.619999999995</v>
      </c>
      <c r="E76" s="85" t="s">
        <v>148</v>
      </c>
      <c r="F76" s="85" t="s">
        <v>226</v>
      </c>
      <c r="G76" s="85" t="s">
        <v>148</v>
      </c>
      <c r="H76" s="85" t="s">
        <v>351</v>
      </c>
      <c r="I76" s="1">
        <f t="shared" si="4"/>
        <v>4</v>
      </c>
      <c r="N76" s="73"/>
    </row>
    <row r="77" spans="1:14">
      <c r="A77" s="5">
        <v>42563</v>
      </c>
      <c r="B77" s="36">
        <v>100</v>
      </c>
      <c r="C77" s="36"/>
      <c r="D77" s="36">
        <f t="shared" si="2"/>
        <v>49436.619999999995</v>
      </c>
      <c r="E77" s="83" t="s">
        <v>534</v>
      </c>
      <c r="F77" s="83" t="s">
        <v>530</v>
      </c>
      <c r="G77" s="83" t="s">
        <v>535</v>
      </c>
      <c r="H77" s="83" t="s">
        <v>536</v>
      </c>
      <c r="I77" s="1">
        <f t="shared" si="4"/>
        <v>16</v>
      </c>
      <c r="N77" s="73"/>
    </row>
    <row r="78" spans="1:14">
      <c r="A78" s="5">
        <v>42563</v>
      </c>
      <c r="B78" s="36"/>
      <c r="C78" s="36">
        <v>-4.2</v>
      </c>
      <c r="D78" s="36">
        <f t="shared" si="2"/>
        <v>49432.42</v>
      </c>
      <c r="E78" s="85" t="s">
        <v>148</v>
      </c>
      <c r="F78" s="85" t="s">
        <v>226</v>
      </c>
      <c r="G78" s="85" t="s">
        <v>148</v>
      </c>
      <c r="H78" s="85" t="s">
        <v>351</v>
      </c>
      <c r="I78" s="1">
        <f t="shared" si="4"/>
        <v>4</v>
      </c>
      <c r="N78" s="73"/>
    </row>
    <row r="79" spans="1:14">
      <c r="A79" s="5">
        <v>42608</v>
      </c>
      <c r="B79" s="36">
        <v>80</v>
      </c>
      <c r="C79" s="36"/>
      <c r="D79" s="36">
        <f t="shared" si="2"/>
        <v>49512.42</v>
      </c>
      <c r="E79" s="83" t="s">
        <v>537</v>
      </c>
      <c r="F79" s="83" t="s">
        <v>530</v>
      </c>
      <c r="G79" s="83" t="s">
        <v>531</v>
      </c>
      <c r="H79" s="83" t="s">
        <v>521</v>
      </c>
      <c r="I79" s="1">
        <f t="shared" si="4"/>
        <v>16</v>
      </c>
      <c r="N79" s="73"/>
    </row>
    <row r="80" spans="1:14">
      <c r="A80" s="5">
        <v>42608</v>
      </c>
      <c r="B80" s="36"/>
      <c r="C80" s="36">
        <v>-2.62</v>
      </c>
      <c r="D80" s="36">
        <f t="shared" si="2"/>
        <v>49509.799999999996</v>
      </c>
      <c r="E80" s="85" t="s">
        <v>148</v>
      </c>
      <c r="F80" s="85" t="s">
        <v>226</v>
      </c>
      <c r="G80" s="85" t="s">
        <v>148</v>
      </c>
      <c r="H80" s="85" t="s">
        <v>351</v>
      </c>
      <c r="I80" s="1">
        <f t="shared" si="4"/>
        <v>4</v>
      </c>
      <c r="N80" s="73"/>
    </row>
    <row r="81" spans="1:14">
      <c r="A81" s="5">
        <v>42612</v>
      </c>
      <c r="B81" s="36">
        <v>100</v>
      </c>
      <c r="C81" s="36"/>
      <c r="D81" s="36">
        <f t="shared" si="2"/>
        <v>49609.799999999996</v>
      </c>
      <c r="E81" s="83" t="s">
        <v>538</v>
      </c>
      <c r="F81" s="83" t="s">
        <v>530</v>
      </c>
      <c r="G81" s="83" t="s">
        <v>531</v>
      </c>
      <c r="H81" s="83" t="s">
        <v>520</v>
      </c>
      <c r="I81" s="1">
        <f t="shared" si="4"/>
        <v>16</v>
      </c>
      <c r="N81" s="73"/>
    </row>
    <row r="82" spans="1:14">
      <c r="A82" s="5">
        <v>42612</v>
      </c>
      <c r="B82" s="36"/>
      <c r="C82" s="36">
        <v>-3.2</v>
      </c>
      <c r="D82" s="36">
        <f t="shared" si="2"/>
        <v>49606.6</v>
      </c>
      <c r="E82" s="85" t="s">
        <v>148</v>
      </c>
      <c r="F82" s="85" t="s">
        <v>226</v>
      </c>
      <c r="G82" s="85" t="s">
        <v>148</v>
      </c>
      <c r="H82" s="85" t="s">
        <v>351</v>
      </c>
      <c r="I82" s="1">
        <f t="shared" si="4"/>
        <v>4</v>
      </c>
      <c r="N82" s="73"/>
    </row>
    <row r="83" spans="1:14">
      <c r="A83" s="5">
        <v>42618</v>
      </c>
      <c r="B83" s="36">
        <v>250</v>
      </c>
      <c r="C83" s="36"/>
      <c r="D83" s="36">
        <f t="shared" si="2"/>
        <v>49856.6</v>
      </c>
      <c r="E83" s="83" t="s">
        <v>522</v>
      </c>
      <c r="F83" s="83" t="s">
        <v>523</v>
      </c>
      <c r="G83" s="83" t="s">
        <v>531</v>
      </c>
      <c r="H83" s="6" t="s">
        <v>524</v>
      </c>
      <c r="I83" s="1">
        <f t="shared" si="4"/>
        <v>5130</v>
      </c>
      <c r="N83" s="73"/>
    </row>
    <row r="84" spans="1:14">
      <c r="A84" s="5">
        <v>42618</v>
      </c>
      <c r="B84" s="36"/>
      <c r="C84" s="36">
        <v>-7.55</v>
      </c>
      <c r="D84" s="36">
        <f t="shared" si="2"/>
        <v>49849.049999999996</v>
      </c>
      <c r="E84" s="85" t="s">
        <v>148</v>
      </c>
      <c r="F84" s="85" t="s">
        <v>226</v>
      </c>
      <c r="G84" s="85" t="s">
        <v>148</v>
      </c>
      <c r="H84" s="85" t="s">
        <v>351</v>
      </c>
      <c r="I84" s="1">
        <f t="shared" si="4"/>
        <v>4</v>
      </c>
      <c r="N84" s="73"/>
    </row>
    <row r="85" spans="1:14">
      <c r="A85" s="5">
        <v>42627</v>
      </c>
      <c r="B85" s="36">
        <v>80</v>
      </c>
      <c r="C85" s="36"/>
      <c r="D85" s="36">
        <f t="shared" si="2"/>
        <v>49929.049999999996</v>
      </c>
      <c r="E85" s="83" t="s">
        <v>456</v>
      </c>
      <c r="F85" s="83" t="s">
        <v>457</v>
      </c>
      <c r="G85" s="83" t="s">
        <v>458</v>
      </c>
      <c r="H85" s="83" t="s">
        <v>459</v>
      </c>
      <c r="I85" s="1">
        <f t="shared" si="4"/>
        <v>16</v>
      </c>
      <c r="N85" s="73"/>
    </row>
    <row r="86" spans="1:14">
      <c r="A86" s="5">
        <v>42627</v>
      </c>
      <c r="B86" s="36"/>
      <c r="C86" s="36">
        <v>-2.62</v>
      </c>
      <c r="D86" s="36">
        <f t="shared" si="2"/>
        <v>49926.429999999993</v>
      </c>
      <c r="E86" s="28" t="s">
        <v>148</v>
      </c>
      <c r="F86" s="86" t="s">
        <v>226</v>
      </c>
      <c r="G86" s="86" t="s">
        <v>148</v>
      </c>
      <c r="H86" s="86" t="s">
        <v>351</v>
      </c>
      <c r="I86" s="1">
        <f t="shared" si="4"/>
        <v>4</v>
      </c>
      <c r="N86" s="73"/>
    </row>
    <row r="87" spans="1:14">
      <c r="A87" s="5">
        <v>42630</v>
      </c>
      <c r="B87" s="36"/>
      <c r="C87" s="36">
        <v>-6208.65</v>
      </c>
      <c r="D87" s="36">
        <f t="shared" si="2"/>
        <v>43717.779999999992</v>
      </c>
      <c r="E87" s="28" t="s">
        <v>503</v>
      </c>
      <c r="F87" s="83" t="s">
        <v>476</v>
      </c>
      <c r="G87" s="83" t="s">
        <v>477</v>
      </c>
      <c r="H87" s="6" t="s">
        <v>412</v>
      </c>
      <c r="I87" s="1">
        <f t="shared" si="4"/>
        <v>501</v>
      </c>
    </row>
    <row r="88" spans="1:14">
      <c r="A88" s="5">
        <v>42631</v>
      </c>
      <c r="B88" s="36">
        <v>80</v>
      </c>
      <c r="C88" s="36"/>
      <c r="D88" s="36">
        <f t="shared" si="2"/>
        <v>43797.779999999992</v>
      </c>
      <c r="E88" s="28" t="s">
        <v>48</v>
      </c>
      <c r="F88" s="83" t="s">
        <v>49</v>
      </c>
      <c r="G88" s="83" t="s">
        <v>50</v>
      </c>
      <c r="H88" s="83" t="s">
        <v>49</v>
      </c>
      <c r="I88" s="1">
        <f t="shared" si="4"/>
        <v>16</v>
      </c>
    </row>
    <row r="89" spans="1:14">
      <c r="A89" s="5">
        <v>42631</v>
      </c>
      <c r="B89" s="36"/>
      <c r="C89" s="36">
        <v>-2.62</v>
      </c>
      <c r="D89" s="36">
        <f t="shared" si="2"/>
        <v>43795.159999999989</v>
      </c>
      <c r="E89" s="28" t="s">
        <v>148</v>
      </c>
      <c r="F89" s="87" t="s">
        <v>226</v>
      </c>
      <c r="G89" s="87" t="s">
        <v>148</v>
      </c>
      <c r="H89" s="87" t="s">
        <v>351</v>
      </c>
      <c r="I89" s="1">
        <f t="shared" si="4"/>
        <v>4</v>
      </c>
    </row>
    <row r="90" spans="1:14">
      <c r="A90" s="5">
        <v>42634</v>
      </c>
      <c r="B90" s="36">
        <v>80</v>
      </c>
      <c r="C90" s="36"/>
      <c r="D90" s="36">
        <f t="shared" si="2"/>
        <v>43875.159999999989</v>
      </c>
      <c r="E90" s="28" t="s">
        <v>51</v>
      </c>
      <c r="F90" s="83" t="s">
        <v>49</v>
      </c>
      <c r="G90" s="83" t="s">
        <v>50</v>
      </c>
      <c r="H90" s="83" t="s">
        <v>49</v>
      </c>
      <c r="I90" s="1">
        <f t="shared" si="4"/>
        <v>16</v>
      </c>
    </row>
    <row r="91" spans="1:14">
      <c r="A91" s="5">
        <v>42634</v>
      </c>
      <c r="B91" s="36"/>
      <c r="C91" s="36">
        <v>-2.62</v>
      </c>
      <c r="D91" s="36">
        <f t="shared" si="2"/>
        <v>43872.539999999986</v>
      </c>
      <c r="E91" s="28" t="s">
        <v>148</v>
      </c>
      <c r="F91" s="87" t="s">
        <v>226</v>
      </c>
      <c r="G91" s="87" t="s">
        <v>148</v>
      </c>
      <c r="H91" s="87" t="s">
        <v>351</v>
      </c>
      <c r="I91" s="1">
        <f t="shared" si="4"/>
        <v>4</v>
      </c>
    </row>
    <row r="92" spans="1:14">
      <c r="A92" s="5">
        <v>42636</v>
      </c>
      <c r="B92" s="36">
        <v>150</v>
      </c>
      <c r="C92" s="36"/>
      <c r="D92" s="36">
        <f t="shared" si="2"/>
        <v>44022.539999999986</v>
      </c>
      <c r="E92" s="28" t="s">
        <v>241</v>
      </c>
      <c r="F92" s="83" t="s">
        <v>242</v>
      </c>
      <c r="G92" s="83" t="s">
        <v>50</v>
      </c>
      <c r="H92" s="83" t="s">
        <v>284</v>
      </c>
      <c r="I92" s="1">
        <f t="shared" si="4"/>
        <v>6210</v>
      </c>
    </row>
    <row r="93" spans="1:14">
      <c r="A93" s="5">
        <v>42636</v>
      </c>
      <c r="B93" s="36"/>
      <c r="C93" s="36">
        <v>-5.85</v>
      </c>
      <c r="D93" s="36">
        <f t="shared" si="2"/>
        <v>44016.689999999988</v>
      </c>
      <c r="E93" s="28" t="s">
        <v>148</v>
      </c>
      <c r="F93" s="87" t="s">
        <v>226</v>
      </c>
      <c r="G93" s="87" t="s">
        <v>148</v>
      </c>
      <c r="H93" s="87" t="s">
        <v>351</v>
      </c>
      <c r="I93" s="1">
        <f t="shared" si="4"/>
        <v>4</v>
      </c>
    </row>
    <row r="94" spans="1:14">
      <c r="A94" s="5">
        <v>42643</v>
      </c>
      <c r="B94" s="37"/>
      <c r="C94" s="37">
        <v>-1100</v>
      </c>
      <c r="D94" s="36">
        <f t="shared" si="2"/>
        <v>42916.689999999988</v>
      </c>
      <c r="E94" s="28" t="s">
        <v>16</v>
      </c>
      <c r="F94" s="83" t="s">
        <v>17</v>
      </c>
      <c r="G94" s="83" t="s">
        <v>41</v>
      </c>
      <c r="H94" s="83" t="s">
        <v>152</v>
      </c>
      <c r="I94" s="1">
        <f t="shared" si="4"/>
        <v>21</v>
      </c>
    </row>
    <row r="95" spans="1:14">
      <c r="A95" s="5">
        <v>42643</v>
      </c>
      <c r="B95" s="37"/>
      <c r="C95" s="37">
        <v>-1.5</v>
      </c>
      <c r="D95" s="36">
        <f t="shared" si="2"/>
        <v>42915.189999999988</v>
      </c>
      <c r="E95" s="28" t="s">
        <v>42</v>
      </c>
      <c r="F95" s="83" t="s">
        <v>43</v>
      </c>
      <c r="G95" s="83" t="s">
        <v>41</v>
      </c>
      <c r="H95" s="83" t="s">
        <v>44</v>
      </c>
      <c r="I95" s="1">
        <f t="shared" si="4"/>
        <v>4</v>
      </c>
    </row>
    <row r="96" spans="1:14">
      <c r="A96" s="5">
        <v>42653</v>
      </c>
      <c r="B96" s="37">
        <v>1100</v>
      </c>
      <c r="C96" s="37"/>
      <c r="D96" s="36">
        <f t="shared" si="2"/>
        <v>44015.189999999988</v>
      </c>
      <c r="E96" s="28" t="s">
        <v>45</v>
      </c>
      <c r="F96" s="83" t="s">
        <v>46</v>
      </c>
      <c r="G96" s="83" t="s">
        <v>41</v>
      </c>
      <c r="H96" s="83" t="s">
        <v>47</v>
      </c>
      <c r="I96" s="1">
        <f t="shared" si="4"/>
        <v>21</v>
      </c>
    </row>
    <row r="97" spans="1:9">
      <c r="A97" s="5">
        <v>42653</v>
      </c>
      <c r="B97" s="36">
        <v>186.55</v>
      </c>
      <c r="C97" s="36"/>
      <c r="D97" s="36">
        <f t="shared" si="2"/>
        <v>44201.739999999991</v>
      </c>
      <c r="E97" s="83" t="s">
        <v>244</v>
      </c>
      <c r="F97" s="83" t="s">
        <v>539</v>
      </c>
      <c r="G97" s="83" t="s">
        <v>295</v>
      </c>
      <c r="H97" s="83" t="s">
        <v>76</v>
      </c>
      <c r="I97" s="1">
        <f t="shared" si="4"/>
        <v>401</v>
      </c>
    </row>
    <row r="98" spans="1:9">
      <c r="A98" s="5">
        <v>42654</v>
      </c>
      <c r="B98" s="36"/>
      <c r="C98" s="37">
        <v>-2208.54</v>
      </c>
      <c r="D98" s="36">
        <f t="shared" si="2"/>
        <v>41993.19999999999</v>
      </c>
      <c r="E98" s="83" t="s">
        <v>66</v>
      </c>
      <c r="F98" s="83" t="s">
        <v>489</v>
      </c>
      <c r="G98" s="83" t="s">
        <v>197</v>
      </c>
      <c r="H98" s="6" t="s">
        <v>198</v>
      </c>
      <c r="I98" s="1">
        <f t="shared" si="4"/>
        <v>13</v>
      </c>
    </row>
    <row r="99" spans="1:9">
      <c r="A99" s="5">
        <v>42654</v>
      </c>
      <c r="B99" s="36"/>
      <c r="C99" s="37">
        <v>-25</v>
      </c>
      <c r="D99" s="36">
        <f t="shared" si="2"/>
        <v>41968.19999999999</v>
      </c>
      <c r="E99" s="83" t="s">
        <v>199</v>
      </c>
      <c r="F99" s="83" t="s">
        <v>402</v>
      </c>
      <c r="G99" s="83" t="s">
        <v>238</v>
      </c>
      <c r="H99" s="83" t="s">
        <v>411</v>
      </c>
      <c r="I99" s="1">
        <f t="shared" si="4"/>
        <v>4</v>
      </c>
    </row>
    <row r="100" spans="1:9">
      <c r="A100" s="5">
        <v>42654</v>
      </c>
      <c r="B100" s="36"/>
      <c r="C100" s="37">
        <v>-1500</v>
      </c>
      <c r="D100" s="36">
        <f t="shared" si="2"/>
        <v>40468.19999999999</v>
      </c>
      <c r="E100" s="83" t="s">
        <v>52</v>
      </c>
      <c r="F100" s="83" t="s">
        <v>200</v>
      </c>
      <c r="G100" s="83" t="s">
        <v>197</v>
      </c>
      <c r="H100" s="83" t="s">
        <v>201</v>
      </c>
      <c r="I100" s="1">
        <f t="shared" si="4"/>
        <v>21</v>
      </c>
    </row>
    <row r="101" spans="1:9">
      <c r="A101" s="5">
        <v>42654</v>
      </c>
      <c r="B101" s="36">
        <v>80</v>
      </c>
      <c r="C101" s="36"/>
      <c r="D101" s="36">
        <f t="shared" si="2"/>
        <v>40548.19999999999</v>
      </c>
      <c r="E101" s="83" t="s">
        <v>492</v>
      </c>
      <c r="F101" s="83" t="s">
        <v>493</v>
      </c>
      <c r="G101" s="83" t="s">
        <v>494</v>
      </c>
      <c r="H101" s="83" t="s">
        <v>495</v>
      </c>
      <c r="I101" s="1">
        <f t="shared" ref="I101:I123" si="5">VLOOKUP($H101,$H$182:$I$236,2,0)</f>
        <v>16</v>
      </c>
    </row>
    <row r="102" spans="1:9">
      <c r="A102" s="5">
        <v>42654</v>
      </c>
      <c r="B102" s="36"/>
      <c r="C102" s="36">
        <v>-2.62</v>
      </c>
      <c r="D102" s="36">
        <f t="shared" si="2"/>
        <v>40545.579999999987</v>
      </c>
      <c r="E102" s="28" t="s">
        <v>148</v>
      </c>
      <c r="F102" s="88" t="s">
        <v>226</v>
      </c>
      <c r="G102" s="88" t="s">
        <v>148</v>
      </c>
      <c r="H102" s="88" t="s">
        <v>351</v>
      </c>
      <c r="I102" s="1">
        <f t="shared" si="5"/>
        <v>4</v>
      </c>
    </row>
    <row r="103" spans="1:9">
      <c r="A103" s="5">
        <v>42663</v>
      </c>
      <c r="B103" s="36">
        <v>25</v>
      </c>
      <c r="C103" s="36"/>
      <c r="D103" s="36">
        <f t="shared" ref="D103:D122" si="6">D102+B103+C103</f>
        <v>40570.579999999987</v>
      </c>
      <c r="E103" s="83" t="s">
        <v>496</v>
      </c>
      <c r="F103" s="83" t="s">
        <v>493</v>
      </c>
      <c r="G103" s="83" t="s">
        <v>494</v>
      </c>
      <c r="H103" s="83" t="s">
        <v>497</v>
      </c>
      <c r="I103" s="1">
        <f t="shared" si="5"/>
        <v>16</v>
      </c>
    </row>
    <row r="104" spans="1:9">
      <c r="A104" s="5">
        <v>42663</v>
      </c>
      <c r="B104" s="36"/>
      <c r="C104" s="36">
        <v>-1.03</v>
      </c>
      <c r="D104" s="36">
        <f t="shared" si="6"/>
        <v>40569.549999999988</v>
      </c>
      <c r="E104" s="28" t="s">
        <v>148</v>
      </c>
      <c r="F104" s="88" t="s">
        <v>226</v>
      </c>
      <c r="G104" s="88" t="s">
        <v>148</v>
      </c>
      <c r="H104" s="88" t="s">
        <v>351</v>
      </c>
      <c r="I104" s="1">
        <f t="shared" si="5"/>
        <v>4</v>
      </c>
    </row>
    <row r="105" spans="1:9">
      <c r="A105" s="5">
        <v>42670</v>
      </c>
      <c r="B105" s="36">
        <v>-150</v>
      </c>
      <c r="C105" s="36"/>
      <c r="D105" s="36">
        <f t="shared" si="6"/>
        <v>40419.549999999988</v>
      </c>
      <c r="E105" s="28" t="s">
        <v>241</v>
      </c>
      <c r="F105" s="83" t="s">
        <v>502</v>
      </c>
      <c r="G105" s="83" t="s">
        <v>50</v>
      </c>
      <c r="H105" s="83" t="s">
        <v>284</v>
      </c>
      <c r="I105" s="1">
        <f t="shared" si="5"/>
        <v>6210</v>
      </c>
    </row>
    <row r="106" spans="1:9">
      <c r="A106" s="5">
        <v>42670</v>
      </c>
      <c r="B106" s="36"/>
      <c r="C106" s="36">
        <v>-20</v>
      </c>
      <c r="D106" s="36">
        <f t="shared" si="6"/>
        <v>40399.549999999988</v>
      </c>
      <c r="E106" s="28" t="s">
        <v>148</v>
      </c>
      <c r="F106" s="88" t="s">
        <v>226</v>
      </c>
      <c r="G106" s="88" t="s">
        <v>148</v>
      </c>
      <c r="H106" s="88" t="s">
        <v>351</v>
      </c>
      <c r="I106" s="1">
        <f t="shared" si="5"/>
        <v>4</v>
      </c>
    </row>
    <row r="107" spans="1:9">
      <c r="A107" s="5">
        <v>42676</v>
      </c>
      <c r="B107" s="37"/>
      <c r="C107" s="37">
        <f>-2328.78+67.99</f>
        <v>-2260.7900000000004</v>
      </c>
      <c r="D107" s="36">
        <f t="shared" si="6"/>
        <v>38138.759999999987</v>
      </c>
      <c r="E107" s="83" t="s">
        <v>498</v>
      </c>
      <c r="F107" s="83" t="s">
        <v>5</v>
      </c>
      <c r="G107" s="83" t="s">
        <v>500</v>
      </c>
      <c r="H107" s="83" t="s">
        <v>501</v>
      </c>
      <c r="I107" s="1">
        <f t="shared" si="5"/>
        <v>13</v>
      </c>
    </row>
    <row r="108" spans="1:9">
      <c r="A108" s="5">
        <v>42676</v>
      </c>
      <c r="B108" s="37"/>
      <c r="C108" s="37">
        <v>-67.989999999999995</v>
      </c>
      <c r="D108" s="36">
        <f t="shared" si="6"/>
        <v>38070.76999999999</v>
      </c>
      <c r="E108" s="83" t="s">
        <v>1</v>
      </c>
      <c r="F108" s="89" t="s">
        <v>3</v>
      </c>
      <c r="G108" s="83" t="s">
        <v>2</v>
      </c>
      <c r="H108" s="83" t="s">
        <v>4</v>
      </c>
      <c r="I108" s="1">
        <f t="shared" si="5"/>
        <v>4</v>
      </c>
    </row>
    <row r="109" spans="1:9">
      <c r="A109" s="5">
        <v>42677</v>
      </c>
      <c r="B109" s="37">
        <v>2092.4299999999998</v>
      </c>
      <c r="C109" s="37"/>
      <c r="D109" s="36">
        <f t="shared" si="6"/>
        <v>40163.19999999999</v>
      </c>
      <c r="E109" s="83" t="s">
        <v>129</v>
      </c>
      <c r="F109" s="83" t="s">
        <v>130</v>
      </c>
      <c r="G109" s="83" t="s">
        <v>127</v>
      </c>
      <c r="H109" s="83" t="s">
        <v>131</v>
      </c>
      <c r="I109" s="1">
        <f t="shared" si="5"/>
        <v>13</v>
      </c>
    </row>
    <row r="110" spans="1:9">
      <c r="A110" s="5">
        <v>42678</v>
      </c>
      <c r="B110" s="37">
        <v>580</v>
      </c>
      <c r="C110" s="37"/>
      <c r="D110" s="36">
        <f t="shared" si="6"/>
        <v>40743.19999999999</v>
      </c>
      <c r="E110" s="83" t="s">
        <v>53</v>
      </c>
      <c r="F110" s="83" t="s">
        <v>54</v>
      </c>
      <c r="G110" s="83" t="s">
        <v>127</v>
      </c>
      <c r="H110" s="83" t="s">
        <v>128</v>
      </c>
      <c r="I110" s="1">
        <f t="shared" si="5"/>
        <v>23</v>
      </c>
    </row>
    <row r="111" spans="1:9">
      <c r="A111" s="5">
        <v>42678</v>
      </c>
      <c r="B111" s="37"/>
      <c r="C111" s="37">
        <v>-2900</v>
      </c>
      <c r="D111" s="36">
        <f t="shared" si="6"/>
        <v>37843.19999999999</v>
      </c>
      <c r="E111" s="83" t="s">
        <v>132</v>
      </c>
      <c r="F111" s="83" t="s">
        <v>137</v>
      </c>
      <c r="G111" s="83" t="s">
        <v>127</v>
      </c>
      <c r="H111" s="6" t="s">
        <v>135</v>
      </c>
      <c r="I111" s="1">
        <f t="shared" si="5"/>
        <v>5122</v>
      </c>
    </row>
    <row r="112" spans="1:9">
      <c r="A112" s="5">
        <v>42678</v>
      </c>
      <c r="B112" s="37"/>
      <c r="C112" s="37">
        <v>-100</v>
      </c>
      <c r="D112" s="36">
        <f t="shared" si="6"/>
        <v>37743.19999999999</v>
      </c>
      <c r="E112" s="83" t="s">
        <v>90</v>
      </c>
      <c r="F112" s="83" t="s">
        <v>138</v>
      </c>
      <c r="G112" s="83" t="s">
        <v>134</v>
      </c>
      <c r="H112" s="6" t="s">
        <v>136</v>
      </c>
      <c r="I112" s="1">
        <f t="shared" si="5"/>
        <v>5132</v>
      </c>
    </row>
    <row r="113" spans="1:9">
      <c r="A113" s="5">
        <v>42678</v>
      </c>
      <c r="B113" s="37"/>
      <c r="C113" s="37">
        <v>-25</v>
      </c>
      <c r="D113" s="36">
        <f t="shared" si="6"/>
        <v>37718.19999999999</v>
      </c>
      <c r="E113" s="83" t="s">
        <v>133</v>
      </c>
      <c r="F113" s="83" t="s">
        <v>402</v>
      </c>
      <c r="G113" s="83" t="s">
        <v>238</v>
      </c>
      <c r="H113" s="83" t="s">
        <v>411</v>
      </c>
      <c r="I113" s="1">
        <f t="shared" si="5"/>
        <v>4</v>
      </c>
    </row>
    <row r="114" spans="1:9">
      <c r="A114" s="5">
        <v>42678</v>
      </c>
      <c r="B114" s="37"/>
      <c r="C114" s="37">
        <v>-450</v>
      </c>
      <c r="D114" s="36">
        <f t="shared" si="6"/>
        <v>37268.19999999999</v>
      </c>
      <c r="E114" s="83" t="s">
        <v>90</v>
      </c>
      <c r="F114" s="83" t="s">
        <v>138</v>
      </c>
      <c r="G114" s="83" t="s">
        <v>134</v>
      </c>
      <c r="H114" s="83" t="s">
        <v>136</v>
      </c>
      <c r="I114" s="1">
        <f t="shared" si="5"/>
        <v>5132</v>
      </c>
    </row>
    <row r="115" spans="1:9">
      <c r="A115" s="5">
        <v>42678</v>
      </c>
      <c r="B115" s="37"/>
      <c r="C115" s="37">
        <v>-154</v>
      </c>
      <c r="D115" s="36">
        <f t="shared" si="6"/>
        <v>37114.19999999999</v>
      </c>
      <c r="E115" s="83" t="s">
        <v>132</v>
      </c>
      <c r="F115" s="83" t="s">
        <v>91</v>
      </c>
      <c r="G115" s="83" t="s">
        <v>127</v>
      </c>
      <c r="H115" s="83" t="s">
        <v>92</v>
      </c>
      <c r="I115" s="1">
        <f t="shared" si="5"/>
        <v>21</v>
      </c>
    </row>
    <row r="116" spans="1:9">
      <c r="A116" s="5">
        <v>42678</v>
      </c>
      <c r="B116" s="37"/>
      <c r="C116" s="37">
        <v>-25</v>
      </c>
      <c r="D116" s="36">
        <f t="shared" si="6"/>
        <v>37089.19999999999</v>
      </c>
      <c r="E116" s="83" t="s">
        <v>133</v>
      </c>
      <c r="F116" s="83" t="s">
        <v>402</v>
      </c>
      <c r="G116" s="83" t="s">
        <v>238</v>
      </c>
      <c r="H116" s="83" t="s">
        <v>411</v>
      </c>
      <c r="I116" s="1">
        <f t="shared" si="5"/>
        <v>4</v>
      </c>
    </row>
    <row r="117" spans="1:9">
      <c r="A117" s="5">
        <v>42679</v>
      </c>
      <c r="B117" s="37"/>
      <c r="C117" s="37">
        <v>-2701.29</v>
      </c>
      <c r="D117" s="36">
        <f t="shared" si="6"/>
        <v>34387.909999999989</v>
      </c>
      <c r="E117" s="83" t="s">
        <v>95</v>
      </c>
      <c r="F117" s="83" t="s">
        <v>6</v>
      </c>
      <c r="G117" s="83" t="s">
        <v>7</v>
      </c>
      <c r="H117" s="83" t="s">
        <v>92</v>
      </c>
      <c r="I117" s="1">
        <f t="shared" si="5"/>
        <v>21</v>
      </c>
    </row>
    <row r="118" spans="1:9">
      <c r="A118" s="5">
        <v>42681</v>
      </c>
      <c r="B118" s="36"/>
      <c r="C118" s="37">
        <v>-9000</v>
      </c>
      <c r="D118" s="36">
        <f t="shared" si="6"/>
        <v>25387.909999999989</v>
      </c>
      <c r="E118" s="83" t="s">
        <v>93</v>
      </c>
      <c r="F118" s="83" t="s">
        <v>94</v>
      </c>
      <c r="G118" s="83" t="s">
        <v>127</v>
      </c>
      <c r="H118" s="83" t="s">
        <v>92</v>
      </c>
      <c r="I118" s="1">
        <f t="shared" si="5"/>
        <v>21</v>
      </c>
    </row>
    <row r="119" spans="1:9">
      <c r="A119" s="5">
        <v>42681</v>
      </c>
      <c r="B119" s="36"/>
      <c r="C119" s="37">
        <v>-28</v>
      </c>
      <c r="D119" s="36">
        <f t="shared" si="6"/>
        <v>25359.909999999989</v>
      </c>
      <c r="E119" s="83" t="s">
        <v>133</v>
      </c>
      <c r="F119" s="83" t="s">
        <v>402</v>
      </c>
      <c r="G119" s="83" t="s">
        <v>238</v>
      </c>
      <c r="H119" s="83" t="s">
        <v>411</v>
      </c>
      <c r="I119" s="1">
        <f t="shared" si="5"/>
        <v>4</v>
      </c>
    </row>
    <row r="120" spans="1:9">
      <c r="A120" s="5">
        <v>42681</v>
      </c>
      <c r="B120" s="36"/>
      <c r="C120" s="37">
        <v>-2900</v>
      </c>
      <c r="D120" s="36">
        <f t="shared" si="6"/>
        <v>22459.909999999989</v>
      </c>
      <c r="E120" s="83" t="s">
        <v>544</v>
      </c>
      <c r="F120" s="83" t="s">
        <v>137</v>
      </c>
      <c r="G120" s="83" t="s">
        <v>127</v>
      </c>
      <c r="H120" s="83" t="s">
        <v>135</v>
      </c>
      <c r="I120" s="1">
        <f t="shared" si="5"/>
        <v>5122</v>
      </c>
    </row>
    <row r="121" spans="1:9">
      <c r="A121" s="5">
        <v>42681</v>
      </c>
      <c r="B121" s="36"/>
      <c r="C121" s="37">
        <v>-550</v>
      </c>
      <c r="D121" s="36">
        <f t="shared" si="6"/>
        <v>21909.909999999989</v>
      </c>
      <c r="E121" s="83" t="s">
        <v>545</v>
      </c>
      <c r="F121" s="83" t="s">
        <v>138</v>
      </c>
      <c r="G121" s="83" t="s">
        <v>134</v>
      </c>
      <c r="H121" s="83" t="s">
        <v>136</v>
      </c>
      <c r="I121" s="1">
        <f t="shared" si="5"/>
        <v>5132</v>
      </c>
    </row>
    <row r="122" spans="1:9">
      <c r="A122" s="5">
        <v>42683</v>
      </c>
      <c r="B122" s="36">
        <v>80</v>
      </c>
      <c r="C122" s="36"/>
      <c r="D122" s="36">
        <f t="shared" si="6"/>
        <v>21989.909999999989</v>
      </c>
      <c r="E122" s="83" t="s">
        <v>426</v>
      </c>
      <c r="F122" s="83" t="s">
        <v>428</v>
      </c>
      <c r="G122" s="83" t="s">
        <v>429</v>
      </c>
      <c r="H122" s="83" t="s">
        <v>430</v>
      </c>
      <c r="I122" s="1">
        <f t="shared" si="5"/>
        <v>16</v>
      </c>
    </row>
    <row r="123" spans="1:9">
      <c r="A123" s="5">
        <v>42683</v>
      </c>
      <c r="B123" s="36"/>
      <c r="C123" s="36">
        <v>-2.62</v>
      </c>
      <c r="D123" s="36">
        <f t="shared" ref="D123:D170" si="7">D122+B123+C123</f>
        <v>21987.28999999999</v>
      </c>
      <c r="E123" s="28" t="s">
        <v>148</v>
      </c>
      <c r="F123" s="90" t="s">
        <v>226</v>
      </c>
      <c r="G123" s="90" t="s">
        <v>148</v>
      </c>
      <c r="H123" s="90" t="s">
        <v>351</v>
      </c>
      <c r="I123" s="1">
        <f t="shared" si="5"/>
        <v>4</v>
      </c>
    </row>
    <row r="124" spans="1:9">
      <c r="A124" s="5">
        <v>42684</v>
      </c>
      <c r="B124" s="36">
        <v>25</v>
      </c>
      <c r="C124" s="36"/>
      <c r="D124" s="36">
        <f t="shared" si="7"/>
        <v>22012.28999999999</v>
      </c>
      <c r="E124" s="83" t="s">
        <v>427</v>
      </c>
      <c r="F124" s="83" t="s">
        <v>428</v>
      </c>
      <c r="G124" s="83" t="s">
        <v>429</v>
      </c>
      <c r="H124" s="83" t="s">
        <v>431</v>
      </c>
      <c r="I124" s="1">
        <f t="shared" ref="I124:I150" si="8">VLOOKUP($H124,$H$182:$I$236,2,0)</f>
        <v>16</v>
      </c>
    </row>
    <row r="125" spans="1:9">
      <c r="A125" s="5">
        <v>42684</v>
      </c>
      <c r="B125" s="36"/>
      <c r="C125" s="36">
        <v>-1.03</v>
      </c>
      <c r="D125" s="36">
        <f t="shared" si="7"/>
        <v>22011.259999999991</v>
      </c>
      <c r="E125" s="28" t="s">
        <v>148</v>
      </c>
      <c r="F125" s="90" t="s">
        <v>226</v>
      </c>
      <c r="G125" s="90" t="s">
        <v>148</v>
      </c>
      <c r="H125" s="90" t="s">
        <v>351</v>
      </c>
      <c r="I125" s="1">
        <f t="shared" si="8"/>
        <v>4</v>
      </c>
    </row>
    <row r="126" spans="1:9">
      <c r="A126" s="5">
        <v>43056</v>
      </c>
      <c r="B126" s="36">
        <v>80</v>
      </c>
      <c r="C126" s="36"/>
      <c r="D126" s="36">
        <f t="shared" si="7"/>
        <v>22091.259999999991</v>
      </c>
      <c r="E126" s="83" t="s">
        <v>504</v>
      </c>
      <c r="F126" s="83" t="s">
        <v>505</v>
      </c>
      <c r="G126" s="83" t="s">
        <v>506</v>
      </c>
      <c r="H126" s="83" t="s">
        <v>507</v>
      </c>
      <c r="I126" s="1">
        <f t="shared" si="8"/>
        <v>16</v>
      </c>
    </row>
    <row r="127" spans="1:9">
      <c r="A127" s="5">
        <v>43056</v>
      </c>
      <c r="B127" s="36"/>
      <c r="C127" s="36">
        <v>-2.62</v>
      </c>
      <c r="D127" s="36">
        <f>D126+B127+C127</f>
        <v>22088.639999999992</v>
      </c>
      <c r="E127" s="28" t="s">
        <v>148</v>
      </c>
      <c r="F127" s="90" t="s">
        <v>226</v>
      </c>
      <c r="G127" s="90" t="s">
        <v>148</v>
      </c>
      <c r="H127" s="90" t="s">
        <v>351</v>
      </c>
      <c r="I127" s="1">
        <f t="shared" si="8"/>
        <v>4</v>
      </c>
    </row>
    <row r="128" spans="1:9">
      <c r="A128" s="5">
        <v>43062</v>
      </c>
      <c r="B128" s="36">
        <v>80</v>
      </c>
      <c r="C128" s="36"/>
      <c r="D128" s="36">
        <f t="shared" si="7"/>
        <v>22168.639999999992</v>
      </c>
      <c r="E128" s="83" t="s">
        <v>508</v>
      </c>
      <c r="F128" s="83" t="s">
        <v>505</v>
      </c>
      <c r="G128" s="83" t="s">
        <v>506</v>
      </c>
      <c r="H128" s="83" t="s">
        <v>507</v>
      </c>
      <c r="I128" s="1">
        <f t="shared" si="8"/>
        <v>16</v>
      </c>
    </row>
    <row r="129" spans="1:9">
      <c r="A129" s="5">
        <v>43062</v>
      </c>
      <c r="B129" s="36"/>
      <c r="C129" s="36">
        <v>-2.62</v>
      </c>
      <c r="D129" s="36">
        <f t="shared" si="7"/>
        <v>22166.019999999993</v>
      </c>
      <c r="E129" s="28" t="s">
        <v>148</v>
      </c>
      <c r="F129" s="90" t="s">
        <v>226</v>
      </c>
      <c r="G129" s="90" t="s">
        <v>148</v>
      </c>
      <c r="H129" s="90" t="s">
        <v>351</v>
      </c>
      <c r="I129" s="1">
        <f t="shared" si="8"/>
        <v>4</v>
      </c>
    </row>
    <row r="130" spans="1:9">
      <c r="A130" s="5">
        <v>43067</v>
      </c>
      <c r="B130" s="36">
        <v>80</v>
      </c>
      <c r="C130" s="36"/>
      <c r="D130" s="36">
        <f t="shared" si="7"/>
        <v>22246.019999999993</v>
      </c>
      <c r="E130" s="83" t="s">
        <v>509</v>
      </c>
      <c r="F130" s="83" t="s">
        <v>505</v>
      </c>
      <c r="G130" s="83" t="s">
        <v>506</v>
      </c>
      <c r="H130" s="83" t="s">
        <v>507</v>
      </c>
      <c r="I130" s="1">
        <f t="shared" si="8"/>
        <v>16</v>
      </c>
    </row>
    <row r="131" spans="1:9">
      <c r="A131" s="5">
        <v>43067</v>
      </c>
      <c r="B131" s="36"/>
      <c r="C131" s="36">
        <v>-2.62</v>
      </c>
      <c r="D131" s="36">
        <f t="shared" si="7"/>
        <v>22243.399999999994</v>
      </c>
      <c r="E131" s="28" t="s">
        <v>148</v>
      </c>
      <c r="F131" s="90" t="s">
        <v>226</v>
      </c>
      <c r="G131" s="90" t="s">
        <v>148</v>
      </c>
      <c r="H131" s="90" t="s">
        <v>351</v>
      </c>
      <c r="I131" s="1">
        <f t="shared" si="8"/>
        <v>4</v>
      </c>
    </row>
    <row r="132" spans="1:9">
      <c r="A132" s="5">
        <v>43088</v>
      </c>
      <c r="B132" s="36">
        <v>80</v>
      </c>
      <c r="C132" s="36"/>
      <c r="D132" s="36">
        <f t="shared" si="7"/>
        <v>22323.399999999994</v>
      </c>
      <c r="E132" s="83" t="s">
        <v>513</v>
      </c>
      <c r="F132" s="83" t="s">
        <v>505</v>
      </c>
      <c r="G132" s="83" t="s">
        <v>506</v>
      </c>
      <c r="H132" s="83" t="s">
        <v>514</v>
      </c>
      <c r="I132" s="1">
        <f t="shared" si="8"/>
        <v>16</v>
      </c>
    </row>
    <row r="133" spans="1:9">
      <c r="A133" s="5">
        <v>43088</v>
      </c>
      <c r="B133" s="36"/>
      <c r="C133" s="36">
        <v>-2.62</v>
      </c>
      <c r="D133" s="36">
        <f t="shared" si="7"/>
        <v>22320.779999999995</v>
      </c>
      <c r="E133" s="28" t="s">
        <v>148</v>
      </c>
      <c r="F133" s="90" t="s">
        <v>226</v>
      </c>
      <c r="G133" s="90" t="s">
        <v>148</v>
      </c>
      <c r="H133" s="90" t="s">
        <v>351</v>
      </c>
      <c r="I133" s="1">
        <f t="shared" si="8"/>
        <v>4</v>
      </c>
    </row>
    <row r="134" spans="1:9">
      <c r="A134" s="5">
        <v>43099</v>
      </c>
      <c r="B134" s="37">
        <v>11600</v>
      </c>
      <c r="C134" s="36"/>
      <c r="D134" s="36">
        <v>43099</v>
      </c>
      <c r="E134" s="83" t="s">
        <v>541</v>
      </c>
      <c r="F134" s="83" t="s">
        <v>542</v>
      </c>
      <c r="G134" s="83" t="s">
        <v>540</v>
      </c>
      <c r="H134" s="83" t="s">
        <v>421</v>
      </c>
      <c r="I134" s="1">
        <f t="shared" si="8"/>
        <v>5120</v>
      </c>
    </row>
    <row r="135" spans="1:9">
      <c r="A135" s="5">
        <v>43099</v>
      </c>
      <c r="B135" s="37">
        <v>2200</v>
      </c>
      <c r="C135" s="36"/>
      <c r="D135" s="36">
        <f t="shared" si="7"/>
        <v>45299</v>
      </c>
      <c r="E135" s="83" t="s">
        <v>541</v>
      </c>
      <c r="F135" s="83" t="s">
        <v>543</v>
      </c>
      <c r="G135" s="83" t="s">
        <v>420</v>
      </c>
      <c r="H135" s="83" t="s">
        <v>524</v>
      </c>
      <c r="I135" s="1">
        <f t="shared" si="8"/>
        <v>5130</v>
      </c>
    </row>
    <row r="136" spans="1:9">
      <c r="A136" s="5"/>
      <c r="B136" s="36"/>
      <c r="C136" s="36"/>
      <c r="D136" s="36">
        <f t="shared" si="7"/>
        <v>45299</v>
      </c>
      <c r="E136" s="83"/>
      <c r="F136" s="83"/>
      <c r="G136" s="83"/>
      <c r="H136" s="83"/>
      <c r="I136" s="1">
        <f t="shared" si="8"/>
        <v>0</v>
      </c>
    </row>
    <row r="137" spans="1:9">
      <c r="A137" s="5"/>
      <c r="B137" s="36"/>
      <c r="C137" s="36"/>
      <c r="D137" s="36">
        <f t="shared" si="7"/>
        <v>45299</v>
      </c>
      <c r="E137" s="83"/>
      <c r="F137" s="83"/>
      <c r="G137" s="83"/>
      <c r="H137" s="83"/>
      <c r="I137" s="1">
        <f t="shared" si="8"/>
        <v>0</v>
      </c>
    </row>
    <row r="138" spans="1:9">
      <c r="A138" s="5"/>
      <c r="B138" s="36"/>
      <c r="C138" s="36"/>
      <c r="D138" s="36">
        <f t="shared" si="7"/>
        <v>45299</v>
      </c>
      <c r="E138" s="83"/>
      <c r="F138" s="83"/>
      <c r="G138" s="83"/>
      <c r="H138" s="83"/>
      <c r="I138" s="1">
        <f t="shared" si="8"/>
        <v>0</v>
      </c>
    </row>
    <row r="139" spans="1:9">
      <c r="A139" s="5"/>
      <c r="B139" s="36"/>
      <c r="C139" s="36"/>
      <c r="D139" s="36">
        <f t="shared" si="7"/>
        <v>45299</v>
      </c>
      <c r="E139" s="83"/>
      <c r="F139" s="83"/>
      <c r="G139" s="83"/>
      <c r="H139" s="83"/>
      <c r="I139" s="1">
        <f t="shared" si="8"/>
        <v>0</v>
      </c>
    </row>
    <row r="140" spans="1:9">
      <c r="A140" s="5"/>
      <c r="B140" s="36"/>
      <c r="C140" s="36"/>
      <c r="D140" s="36">
        <f t="shared" si="7"/>
        <v>45299</v>
      </c>
      <c r="E140" s="83"/>
      <c r="F140" s="83"/>
      <c r="G140" s="83"/>
      <c r="H140" s="83"/>
      <c r="I140" s="1">
        <f t="shared" si="8"/>
        <v>0</v>
      </c>
    </row>
    <row r="141" spans="1:9">
      <c r="A141" s="5"/>
      <c r="B141" s="36"/>
      <c r="C141" s="36"/>
      <c r="D141" s="36">
        <f t="shared" si="7"/>
        <v>45299</v>
      </c>
      <c r="E141" s="83"/>
      <c r="F141" s="83"/>
      <c r="G141" s="83"/>
      <c r="H141" s="83"/>
      <c r="I141" s="1">
        <f t="shared" si="8"/>
        <v>0</v>
      </c>
    </row>
    <row r="142" spans="1:9">
      <c r="A142" s="5"/>
      <c r="B142" s="36"/>
      <c r="C142" s="36"/>
      <c r="D142" s="36">
        <f t="shared" si="7"/>
        <v>45299</v>
      </c>
      <c r="E142" s="6"/>
      <c r="F142" s="6"/>
      <c r="G142" s="6"/>
      <c r="H142" s="6"/>
      <c r="I142" s="1">
        <f t="shared" si="8"/>
        <v>0</v>
      </c>
    </row>
    <row r="143" spans="1:9">
      <c r="A143" s="5"/>
      <c r="B143" s="36"/>
      <c r="C143" s="36"/>
      <c r="D143" s="36">
        <f t="shared" si="7"/>
        <v>45299</v>
      </c>
      <c r="E143" s="6"/>
      <c r="F143" s="6"/>
      <c r="G143" s="6"/>
      <c r="H143" s="6"/>
      <c r="I143" s="1">
        <f t="shared" si="8"/>
        <v>0</v>
      </c>
    </row>
    <row r="144" spans="1:9">
      <c r="A144" s="5"/>
      <c r="B144" s="36"/>
      <c r="C144" s="36"/>
      <c r="D144" s="36">
        <f t="shared" si="7"/>
        <v>45299</v>
      </c>
      <c r="E144" s="6"/>
      <c r="F144" s="6"/>
      <c r="G144" s="6"/>
      <c r="H144" s="6"/>
      <c r="I144" s="1">
        <f t="shared" si="8"/>
        <v>0</v>
      </c>
    </row>
    <row r="145" spans="1:9">
      <c r="A145" s="5"/>
      <c r="B145" s="36"/>
      <c r="C145" s="36"/>
      <c r="D145" s="36">
        <f t="shared" si="7"/>
        <v>45299</v>
      </c>
      <c r="E145" s="6"/>
      <c r="F145" s="6"/>
      <c r="G145" s="6"/>
      <c r="H145" s="6"/>
      <c r="I145" s="1">
        <f t="shared" si="8"/>
        <v>0</v>
      </c>
    </row>
    <row r="146" spans="1:9">
      <c r="A146" s="5"/>
      <c r="B146" s="36"/>
      <c r="C146" s="36"/>
      <c r="D146" s="36">
        <f t="shared" si="7"/>
        <v>45299</v>
      </c>
      <c r="E146" s="6"/>
      <c r="F146" s="6"/>
      <c r="G146" s="6"/>
      <c r="H146" s="6"/>
      <c r="I146" s="1">
        <f t="shared" si="8"/>
        <v>0</v>
      </c>
    </row>
    <row r="147" spans="1:9">
      <c r="A147" s="5"/>
      <c r="B147" s="36"/>
      <c r="C147" s="36"/>
      <c r="D147" s="36">
        <f t="shared" si="7"/>
        <v>45299</v>
      </c>
      <c r="E147" s="6"/>
      <c r="F147" s="6"/>
      <c r="G147" s="6"/>
      <c r="H147" s="6"/>
      <c r="I147" s="1">
        <f t="shared" si="8"/>
        <v>0</v>
      </c>
    </row>
    <row r="148" spans="1:9">
      <c r="A148" s="5"/>
      <c r="B148" s="36"/>
      <c r="C148" s="36"/>
      <c r="D148" s="36">
        <f>D147+B148+C148</f>
        <v>45299</v>
      </c>
      <c r="E148" s="6"/>
      <c r="F148" s="6"/>
      <c r="G148" s="6"/>
      <c r="H148" s="6"/>
      <c r="I148" s="1">
        <f t="shared" si="8"/>
        <v>0</v>
      </c>
    </row>
    <row r="149" spans="1:9">
      <c r="A149" s="5"/>
      <c r="B149" s="36"/>
      <c r="C149" s="36"/>
      <c r="D149" s="36">
        <f t="shared" si="7"/>
        <v>45299</v>
      </c>
      <c r="E149" s="6"/>
      <c r="F149" s="6"/>
      <c r="G149" s="6"/>
      <c r="H149" s="6"/>
      <c r="I149" s="1">
        <f t="shared" si="8"/>
        <v>0</v>
      </c>
    </row>
    <row r="150" spans="1:9">
      <c r="A150" s="5"/>
      <c r="B150" s="36"/>
      <c r="C150" s="36"/>
      <c r="D150" s="36">
        <f t="shared" si="7"/>
        <v>45299</v>
      </c>
      <c r="E150" s="6"/>
      <c r="F150" s="6"/>
      <c r="G150" s="6"/>
      <c r="H150" s="6"/>
      <c r="I150" s="1">
        <f t="shared" si="8"/>
        <v>0</v>
      </c>
    </row>
    <row r="151" spans="1:9">
      <c r="A151" s="5"/>
      <c r="B151" s="36"/>
      <c r="C151" s="36"/>
      <c r="D151" s="36">
        <f t="shared" si="7"/>
        <v>45299</v>
      </c>
      <c r="E151" s="6"/>
      <c r="F151" s="6"/>
      <c r="G151" s="6"/>
      <c r="H151" s="6"/>
      <c r="I151" s="1">
        <f t="shared" ref="I151:I172" si="9">VLOOKUP($H151,$H$182:$I$236,2,0)</f>
        <v>0</v>
      </c>
    </row>
    <row r="152" spans="1:9">
      <c r="A152" s="5"/>
      <c r="B152" s="36"/>
      <c r="C152" s="36"/>
      <c r="D152" s="36">
        <f t="shared" si="7"/>
        <v>45299</v>
      </c>
      <c r="E152" s="6"/>
      <c r="F152" s="6"/>
      <c r="G152" s="6"/>
      <c r="H152" s="6"/>
      <c r="I152" s="1">
        <f t="shared" si="9"/>
        <v>0</v>
      </c>
    </row>
    <row r="153" spans="1:9">
      <c r="A153" s="5"/>
      <c r="B153" s="36"/>
      <c r="C153" s="36"/>
      <c r="D153" s="36">
        <f t="shared" si="7"/>
        <v>45299</v>
      </c>
      <c r="E153" s="6"/>
      <c r="F153" s="6"/>
      <c r="G153" s="6"/>
      <c r="H153" s="6"/>
      <c r="I153" s="1">
        <f t="shared" si="9"/>
        <v>0</v>
      </c>
    </row>
    <row r="154" spans="1:9">
      <c r="A154" s="5"/>
      <c r="B154" s="36"/>
      <c r="C154" s="36"/>
      <c r="D154" s="36">
        <f t="shared" si="7"/>
        <v>45299</v>
      </c>
      <c r="E154" s="6"/>
      <c r="F154" s="6"/>
      <c r="G154" s="6"/>
      <c r="H154" s="6"/>
      <c r="I154" s="1">
        <f t="shared" si="9"/>
        <v>0</v>
      </c>
    </row>
    <row r="155" spans="1:9">
      <c r="A155" s="5"/>
      <c r="B155" s="36"/>
      <c r="C155" s="36"/>
      <c r="D155" s="36">
        <f t="shared" si="7"/>
        <v>45299</v>
      </c>
      <c r="E155" s="6"/>
      <c r="F155" s="6"/>
      <c r="G155" s="6"/>
      <c r="H155" s="6"/>
      <c r="I155" s="1">
        <f t="shared" si="9"/>
        <v>0</v>
      </c>
    </row>
    <row r="156" spans="1:9">
      <c r="A156" s="5"/>
      <c r="B156" s="36"/>
      <c r="C156" s="36"/>
      <c r="D156" s="36">
        <f t="shared" si="7"/>
        <v>45299</v>
      </c>
      <c r="E156" s="6"/>
      <c r="F156" s="6"/>
      <c r="G156" s="6"/>
      <c r="H156" s="6"/>
      <c r="I156" s="1">
        <f t="shared" si="9"/>
        <v>0</v>
      </c>
    </row>
    <row r="157" spans="1:9">
      <c r="A157" s="5"/>
      <c r="B157" s="36"/>
      <c r="C157" s="36"/>
      <c r="D157" s="36">
        <f t="shared" si="7"/>
        <v>45299</v>
      </c>
      <c r="E157" s="6"/>
      <c r="F157" s="6"/>
      <c r="G157" s="6"/>
      <c r="H157" s="6"/>
      <c r="I157" s="1">
        <f t="shared" si="9"/>
        <v>0</v>
      </c>
    </row>
    <row r="158" spans="1:9">
      <c r="A158" s="5"/>
      <c r="B158" s="36"/>
      <c r="C158" s="36"/>
      <c r="D158" s="36">
        <f t="shared" si="7"/>
        <v>45299</v>
      </c>
      <c r="E158" s="6"/>
      <c r="F158" s="6"/>
      <c r="G158" s="6"/>
      <c r="H158" s="6"/>
      <c r="I158" s="1">
        <f t="shared" si="9"/>
        <v>0</v>
      </c>
    </row>
    <row r="159" spans="1:9">
      <c r="A159" s="5"/>
      <c r="B159" s="36"/>
      <c r="C159" s="36"/>
      <c r="D159" s="36">
        <f t="shared" si="7"/>
        <v>45299</v>
      </c>
      <c r="E159" s="6"/>
      <c r="F159" s="6"/>
      <c r="G159" s="6"/>
      <c r="H159" s="6"/>
      <c r="I159" s="1">
        <f t="shared" si="9"/>
        <v>0</v>
      </c>
    </row>
    <row r="160" spans="1:9">
      <c r="A160" s="5"/>
      <c r="B160" s="36"/>
      <c r="C160" s="36"/>
      <c r="D160" s="36">
        <f t="shared" si="7"/>
        <v>45299</v>
      </c>
      <c r="E160" s="6"/>
      <c r="F160" s="6"/>
      <c r="G160" s="6"/>
      <c r="H160" s="6"/>
      <c r="I160" s="1">
        <f t="shared" si="9"/>
        <v>0</v>
      </c>
    </row>
    <row r="161" spans="1:9">
      <c r="A161" s="5"/>
      <c r="B161" s="36"/>
      <c r="C161" s="36"/>
      <c r="D161" s="36">
        <f t="shared" si="7"/>
        <v>45299</v>
      </c>
      <c r="E161" s="6"/>
      <c r="F161" s="6"/>
      <c r="G161" s="6"/>
      <c r="H161" s="6"/>
      <c r="I161" s="1">
        <f t="shared" si="9"/>
        <v>0</v>
      </c>
    </row>
    <row r="162" spans="1:9">
      <c r="A162" s="5"/>
      <c r="B162" s="36"/>
      <c r="C162" s="36"/>
      <c r="D162" s="36">
        <f t="shared" si="7"/>
        <v>45299</v>
      </c>
      <c r="E162" s="66"/>
      <c r="F162" s="66"/>
      <c r="G162" s="6"/>
      <c r="H162" s="6"/>
      <c r="I162" s="1">
        <f t="shared" si="9"/>
        <v>0</v>
      </c>
    </row>
    <row r="163" spans="1:9">
      <c r="A163" s="5"/>
      <c r="B163" s="36"/>
      <c r="C163" s="36"/>
      <c r="D163" s="36">
        <f t="shared" si="7"/>
        <v>45299</v>
      </c>
      <c r="E163" s="66"/>
      <c r="F163" s="6"/>
      <c r="G163" s="6"/>
      <c r="H163" s="6"/>
      <c r="I163" s="1">
        <f t="shared" si="9"/>
        <v>0</v>
      </c>
    </row>
    <row r="164" spans="1:9">
      <c r="A164" s="5"/>
      <c r="B164" s="36"/>
      <c r="C164" s="36"/>
      <c r="D164" s="36">
        <f t="shared" si="7"/>
        <v>45299</v>
      </c>
      <c r="E164" s="66"/>
      <c r="F164" s="66"/>
      <c r="G164" s="6"/>
      <c r="H164" s="6"/>
      <c r="I164" s="1">
        <f t="shared" si="9"/>
        <v>0</v>
      </c>
    </row>
    <row r="165" spans="1:9">
      <c r="A165" s="5"/>
      <c r="B165" s="36"/>
      <c r="C165" s="36"/>
      <c r="D165" s="36">
        <f t="shared" si="7"/>
        <v>45299</v>
      </c>
      <c r="E165" s="67"/>
      <c r="F165" s="67"/>
      <c r="G165" s="6"/>
      <c r="H165" s="6"/>
      <c r="I165" s="1">
        <f t="shared" si="9"/>
        <v>0</v>
      </c>
    </row>
    <row r="166" spans="1:9">
      <c r="A166" s="5"/>
      <c r="B166" s="36"/>
      <c r="C166" s="36"/>
      <c r="D166" s="36">
        <f t="shared" si="7"/>
        <v>45299</v>
      </c>
      <c r="E166" s="6"/>
      <c r="F166" s="6"/>
      <c r="G166" s="6"/>
      <c r="H166" s="6"/>
      <c r="I166" s="1">
        <f t="shared" si="9"/>
        <v>0</v>
      </c>
    </row>
    <row r="167" spans="1:9">
      <c r="A167" s="5"/>
      <c r="B167" s="36"/>
      <c r="C167" s="36"/>
      <c r="D167" s="36">
        <f t="shared" si="7"/>
        <v>45299</v>
      </c>
      <c r="E167" s="68"/>
      <c r="F167" s="68"/>
      <c r="G167" s="6"/>
      <c r="H167" s="6"/>
      <c r="I167" s="1">
        <f t="shared" si="9"/>
        <v>0</v>
      </c>
    </row>
    <row r="168" spans="1:9">
      <c r="A168" s="5"/>
      <c r="B168" s="36"/>
      <c r="C168" s="36"/>
      <c r="D168" s="36">
        <f t="shared" si="7"/>
        <v>45299</v>
      </c>
      <c r="E168" s="6"/>
      <c r="F168" s="6"/>
      <c r="G168" s="6"/>
      <c r="H168" s="6"/>
      <c r="I168" s="1">
        <f t="shared" si="9"/>
        <v>0</v>
      </c>
    </row>
    <row r="169" spans="1:9">
      <c r="A169" s="5"/>
      <c r="B169" s="36"/>
      <c r="C169" s="36"/>
      <c r="D169" s="36">
        <f t="shared" si="7"/>
        <v>45299</v>
      </c>
      <c r="E169" s="68"/>
      <c r="F169" s="68"/>
      <c r="G169" s="6"/>
      <c r="H169" s="6"/>
      <c r="I169" s="1">
        <f t="shared" si="9"/>
        <v>0</v>
      </c>
    </row>
    <row r="170" spans="1:9">
      <c r="A170" s="5"/>
      <c r="B170" s="36"/>
      <c r="D170" s="36">
        <f t="shared" si="7"/>
        <v>45299</v>
      </c>
      <c r="E170" s="6"/>
      <c r="F170" s="6"/>
      <c r="G170" s="6"/>
      <c r="H170" s="6"/>
      <c r="I170" s="1">
        <f t="shared" si="9"/>
        <v>0</v>
      </c>
    </row>
    <row r="171" spans="1:9">
      <c r="A171" s="5"/>
      <c r="B171" s="38"/>
      <c r="C171" s="38"/>
      <c r="D171" s="36">
        <f>D170+B171+C171</f>
        <v>45299</v>
      </c>
      <c r="E171" s="71"/>
      <c r="F171" s="6"/>
      <c r="G171" s="6"/>
      <c r="H171" s="6"/>
      <c r="I171" s="1">
        <f t="shared" si="9"/>
        <v>0</v>
      </c>
    </row>
    <row r="172" spans="1:9">
      <c r="A172" s="5"/>
      <c r="B172" s="38"/>
      <c r="C172" s="38"/>
      <c r="D172" s="36">
        <f>D171+B172+C172</f>
        <v>45299</v>
      </c>
      <c r="E172" s="71"/>
      <c r="F172" s="71"/>
      <c r="G172" s="6"/>
      <c r="H172" s="6"/>
      <c r="I172" s="1">
        <f t="shared" si="9"/>
        <v>0</v>
      </c>
    </row>
    <row r="173" spans="1:9">
      <c r="B173" s="36"/>
      <c r="C173" s="36"/>
      <c r="D173" s="36"/>
    </row>
    <row r="174" spans="1:9">
      <c r="B174" s="39">
        <f>SUM(B6:B172)</f>
        <v>70509.709999999992</v>
      </c>
      <c r="C174" s="39">
        <f>SUM(C6:C172)</f>
        <v>-34388.930000000015</v>
      </c>
      <c r="D174" s="39">
        <f>B174+C174</f>
        <v>36120.779999999977</v>
      </c>
    </row>
    <row r="175" spans="1:9">
      <c r="A175" s="102" t="s">
        <v>340</v>
      </c>
      <c r="B175" s="102"/>
      <c r="C175" s="102"/>
      <c r="D175" s="102"/>
      <c r="E175" s="102"/>
      <c r="F175" s="102"/>
      <c r="G175" s="102"/>
      <c r="H175" s="102"/>
      <c r="I175" s="102"/>
    </row>
    <row r="176" spans="1:9">
      <c r="A176" s="8"/>
      <c r="B176" s="9">
        <f>SUM(B177:B178)</f>
        <v>70509.710000000006</v>
      </c>
      <c r="C176" s="9">
        <f>SUM(C177:C178)</f>
        <v>-34388.93</v>
      </c>
      <c r="D176" s="10"/>
      <c r="E176" s="8"/>
      <c r="F176" s="8"/>
      <c r="G176" s="8"/>
      <c r="H176" s="8"/>
      <c r="I176" s="8"/>
    </row>
    <row r="177" spans="1:10">
      <c r="B177" s="33">
        <f>SUMIF($G$6:$G$172,$G177,$B$6:$B$172)</f>
        <v>64672.58</v>
      </c>
      <c r="C177" s="33">
        <f>SUMIF($G$6:$G$172,$G177,$C$6:$C$172)</f>
        <v>-29211.07</v>
      </c>
      <c r="D177" s="33">
        <f>B177+C177</f>
        <v>35461.51</v>
      </c>
      <c r="E177" s="57" t="s">
        <v>487</v>
      </c>
      <c r="F177" s="75"/>
      <c r="G177" s="6" t="s">
        <v>202</v>
      </c>
    </row>
    <row r="178" spans="1:10">
      <c r="B178" s="33">
        <f>SUMIF($G$6:$G$172,$G178,$B$6:$B$172)</f>
        <v>5837.13</v>
      </c>
      <c r="C178" s="33">
        <f>SUMIF($G$6:$G$172,$G178,$C$6:$C$172)</f>
        <v>-5177.8599999999988</v>
      </c>
      <c r="D178" s="93">
        <f>B178+C178</f>
        <v>659.27000000000135</v>
      </c>
      <c r="E178" s="57" t="s">
        <v>487</v>
      </c>
      <c r="F178" s="2"/>
      <c r="G178" s="6" t="s">
        <v>148</v>
      </c>
      <c r="H178" s="2"/>
    </row>
    <row r="179" spans="1:10">
      <c r="B179" s="33"/>
      <c r="C179" s="33"/>
      <c r="D179" s="33">
        <f>D174-B236</f>
        <v>-9164.5500000000247</v>
      </c>
      <c r="E179" s="1" t="s">
        <v>341</v>
      </c>
    </row>
    <row r="180" spans="1:10">
      <c r="A180" s="102" t="s">
        <v>449</v>
      </c>
      <c r="B180" s="102"/>
      <c r="C180" s="102"/>
      <c r="D180" s="102"/>
      <c r="E180" s="102"/>
      <c r="F180" s="102"/>
      <c r="G180" s="102"/>
      <c r="H180" s="102"/>
      <c r="I180" s="102"/>
    </row>
    <row r="181" spans="1:10">
      <c r="A181" s="8"/>
      <c r="B181" s="34">
        <f>SUM(B182:B236)</f>
        <v>70509.710000000006</v>
      </c>
      <c r="C181" s="34">
        <f>SUM(C182:C236)</f>
        <v>-34388.93</v>
      </c>
      <c r="D181" s="10"/>
      <c r="E181" s="8"/>
      <c r="F181" s="8"/>
      <c r="G181" s="8"/>
      <c r="H181" s="8"/>
      <c r="I181" s="8"/>
    </row>
    <row r="182" spans="1:10">
      <c r="B182" s="33"/>
      <c r="C182" s="33"/>
      <c r="E182" s="2"/>
      <c r="H182" s="1">
        <v>0</v>
      </c>
      <c r="I182" s="1">
        <v>0</v>
      </c>
      <c r="J182" s="11" t="s">
        <v>203</v>
      </c>
    </row>
    <row r="183" spans="1:10">
      <c r="B183" s="33">
        <f t="shared" ref="B183:B214" si="10">SUMIF($I$6:$I$172,$I183,$B$6:$B$172)</f>
        <v>0</v>
      </c>
      <c r="C183" s="33">
        <f t="shared" ref="C183:C214" si="11">SUMIF($I$6:$I$172,$I183,$C$6:$C$172)</f>
        <v>0</v>
      </c>
      <c r="D183" s="59">
        <f t="shared" ref="D183:D214" si="12">COUNTIF($I$6:$I$172,$I183)</f>
        <v>0</v>
      </c>
      <c r="H183" s="6" t="s">
        <v>106</v>
      </c>
      <c r="I183" s="1">
        <v>1</v>
      </c>
      <c r="J183" s="6" t="s">
        <v>269</v>
      </c>
    </row>
    <row r="184" spans="1:10">
      <c r="B184" s="33">
        <f t="shared" si="10"/>
        <v>0</v>
      </c>
      <c r="C184" s="33">
        <f t="shared" si="11"/>
        <v>0</v>
      </c>
      <c r="D184" s="59">
        <f t="shared" si="12"/>
        <v>0</v>
      </c>
      <c r="H184" s="6" t="s">
        <v>204</v>
      </c>
      <c r="I184" s="1">
        <v>2</v>
      </c>
      <c r="J184" s="30" t="s">
        <v>474</v>
      </c>
    </row>
    <row r="185" spans="1:10">
      <c r="B185" s="33">
        <f t="shared" si="10"/>
        <v>0</v>
      </c>
      <c r="C185" s="33">
        <f t="shared" si="11"/>
        <v>0</v>
      </c>
      <c r="D185" s="59">
        <f t="shared" si="12"/>
        <v>0</v>
      </c>
      <c r="H185" s="6" t="s">
        <v>78</v>
      </c>
      <c r="I185" s="1">
        <v>3</v>
      </c>
      <c r="J185" s="1" t="s">
        <v>78</v>
      </c>
    </row>
    <row r="186" spans="1:10">
      <c r="B186" s="33">
        <f t="shared" si="10"/>
        <v>0</v>
      </c>
      <c r="C186" s="33">
        <f t="shared" si="11"/>
        <v>-348.28000000000003</v>
      </c>
      <c r="D186" s="59">
        <f t="shared" si="12"/>
        <v>54</v>
      </c>
      <c r="H186" s="6" t="s">
        <v>351</v>
      </c>
      <c r="I186" s="1">
        <v>4</v>
      </c>
      <c r="J186" s="1" t="s">
        <v>409</v>
      </c>
    </row>
    <row r="187" spans="1:10">
      <c r="B187" s="33">
        <f t="shared" si="10"/>
        <v>436.95000000000005</v>
      </c>
      <c r="C187" s="33">
        <f t="shared" si="11"/>
        <v>0</v>
      </c>
      <c r="D187" s="59">
        <f t="shared" si="12"/>
        <v>3</v>
      </c>
      <c r="H187" s="6" t="s">
        <v>21</v>
      </c>
      <c r="I187" s="1">
        <v>401</v>
      </c>
      <c r="J187" s="6" t="s">
        <v>358</v>
      </c>
    </row>
    <row r="188" spans="1:10">
      <c r="B188" s="33">
        <f t="shared" si="10"/>
        <v>0</v>
      </c>
      <c r="C188" s="33">
        <f t="shared" si="11"/>
        <v>0</v>
      </c>
      <c r="D188" s="59">
        <f t="shared" si="12"/>
        <v>0</v>
      </c>
      <c r="H188" s="6" t="s">
        <v>330</v>
      </c>
      <c r="I188" s="1">
        <v>410</v>
      </c>
      <c r="J188" s="6" t="s">
        <v>399</v>
      </c>
    </row>
    <row r="189" spans="1:10">
      <c r="B189" s="33">
        <f t="shared" si="10"/>
        <v>0</v>
      </c>
      <c r="C189" s="33">
        <f t="shared" si="11"/>
        <v>-8097.15</v>
      </c>
      <c r="D189" s="59">
        <f t="shared" si="12"/>
        <v>3</v>
      </c>
      <c r="H189" s="12" t="s">
        <v>270</v>
      </c>
      <c r="I189" s="1">
        <v>501</v>
      </c>
      <c r="J189" s="1" t="s">
        <v>353</v>
      </c>
    </row>
    <row r="190" spans="1:10">
      <c r="B190" s="33">
        <f t="shared" si="10"/>
        <v>0</v>
      </c>
      <c r="C190" s="33">
        <f t="shared" si="11"/>
        <v>0</v>
      </c>
      <c r="D190" s="59">
        <f t="shared" si="12"/>
        <v>0</v>
      </c>
      <c r="H190" s="12" t="s">
        <v>453</v>
      </c>
      <c r="I190" s="1">
        <v>502</v>
      </c>
      <c r="J190" s="1" t="s">
        <v>353</v>
      </c>
    </row>
    <row r="191" spans="1:10">
      <c r="B191" s="33">
        <f t="shared" si="10"/>
        <v>0</v>
      </c>
      <c r="C191" s="33">
        <f t="shared" si="11"/>
        <v>0</v>
      </c>
      <c r="D191" s="59">
        <f t="shared" si="12"/>
        <v>0</v>
      </c>
      <c r="H191" s="12" t="s">
        <v>320</v>
      </c>
      <c r="I191" s="1">
        <v>503</v>
      </c>
      <c r="J191" s="6" t="s">
        <v>332</v>
      </c>
    </row>
    <row r="192" spans="1:10">
      <c r="B192" s="33">
        <f t="shared" si="10"/>
        <v>0</v>
      </c>
      <c r="C192" s="33">
        <f t="shared" si="11"/>
        <v>0</v>
      </c>
      <c r="D192" s="59">
        <f t="shared" si="12"/>
        <v>0</v>
      </c>
      <c r="H192" s="12" t="s">
        <v>249</v>
      </c>
      <c r="I192" s="1">
        <v>5112</v>
      </c>
      <c r="J192" s="1" t="s">
        <v>353</v>
      </c>
    </row>
    <row r="193" spans="2:10">
      <c r="B193" s="33">
        <f t="shared" si="10"/>
        <v>0</v>
      </c>
      <c r="C193" s="33">
        <f t="shared" si="11"/>
        <v>0</v>
      </c>
      <c r="D193" s="59">
        <f t="shared" si="12"/>
        <v>0</v>
      </c>
      <c r="H193" s="12" t="s">
        <v>327</v>
      </c>
      <c r="I193" s="1">
        <v>5111</v>
      </c>
      <c r="J193" s="1" t="s">
        <v>353</v>
      </c>
    </row>
    <row r="194" spans="2:10">
      <c r="B194" s="33">
        <f t="shared" si="10"/>
        <v>0</v>
      </c>
      <c r="C194" s="33">
        <f t="shared" si="11"/>
        <v>0</v>
      </c>
      <c r="D194" s="59">
        <f t="shared" si="12"/>
        <v>0</v>
      </c>
      <c r="H194" s="12" t="s">
        <v>37</v>
      </c>
      <c r="I194" s="1">
        <v>5110</v>
      </c>
      <c r="J194" s="1" t="s">
        <v>353</v>
      </c>
    </row>
    <row r="195" spans="2:10">
      <c r="B195" s="33">
        <f t="shared" si="10"/>
        <v>0</v>
      </c>
      <c r="C195" s="33">
        <f t="shared" si="11"/>
        <v>-5800</v>
      </c>
      <c r="D195" s="59">
        <f t="shared" si="12"/>
        <v>2</v>
      </c>
      <c r="H195" s="12" t="s">
        <v>65</v>
      </c>
      <c r="I195" s="1">
        <v>5122</v>
      </c>
      <c r="J195" s="1" t="s">
        <v>353</v>
      </c>
    </row>
    <row r="196" spans="2:10">
      <c r="B196" s="33">
        <f t="shared" si="10"/>
        <v>0</v>
      </c>
      <c r="C196" s="33">
        <f t="shared" si="11"/>
        <v>-98.88</v>
      </c>
      <c r="D196" s="59">
        <f t="shared" si="12"/>
        <v>1</v>
      </c>
      <c r="H196" s="12" t="s">
        <v>227</v>
      </c>
      <c r="I196" s="1">
        <v>5121</v>
      </c>
      <c r="J196" s="1" t="s">
        <v>353</v>
      </c>
    </row>
    <row r="197" spans="2:10">
      <c r="B197" s="33">
        <f t="shared" si="10"/>
        <v>11600</v>
      </c>
      <c r="C197" s="33">
        <f t="shared" si="11"/>
        <v>0</v>
      </c>
      <c r="D197" s="59">
        <f t="shared" si="12"/>
        <v>1</v>
      </c>
      <c r="H197" s="12" t="s">
        <v>393</v>
      </c>
      <c r="I197" s="1">
        <v>5120</v>
      </c>
      <c r="J197" s="1" t="s">
        <v>353</v>
      </c>
    </row>
    <row r="198" spans="2:10">
      <c r="B198" s="33">
        <f t="shared" si="10"/>
        <v>0</v>
      </c>
      <c r="C198" s="33">
        <f t="shared" si="11"/>
        <v>-1100</v>
      </c>
      <c r="D198" s="59">
        <f t="shared" si="12"/>
        <v>3</v>
      </c>
      <c r="H198" s="12" t="s">
        <v>394</v>
      </c>
      <c r="I198" s="1">
        <v>5132</v>
      </c>
      <c r="J198" s="1" t="s">
        <v>353</v>
      </c>
    </row>
    <row r="199" spans="2:10">
      <c r="B199" s="33">
        <f t="shared" si="10"/>
        <v>0</v>
      </c>
      <c r="C199" s="33">
        <f t="shared" si="11"/>
        <v>0</v>
      </c>
      <c r="D199" s="59">
        <f t="shared" si="12"/>
        <v>0</v>
      </c>
      <c r="H199" s="12" t="s">
        <v>125</v>
      </c>
      <c r="I199" s="1">
        <v>5131</v>
      </c>
      <c r="J199" s="1" t="s">
        <v>353</v>
      </c>
    </row>
    <row r="200" spans="2:10">
      <c r="B200" s="33">
        <f t="shared" si="10"/>
        <v>2450</v>
      </c>
      <c r="C200" s="33">
        <f t="shared" si="11"/>
        <v>0</v>
      </c>
      <c r="D200" s="59">
        <f t="shared" si="12"/>
        <v>2</v>
      </c>
      <c r="H200" s="12" t="s">
        <v>398</v>
      </c>
      <c r="I200" s="1">
        <v>5130</v>
      </c>
      <c r="J200" s="1" t="s">
        <v>353</v>
      </c>
    </row>
    <row r="201" spans="2:10">
      <c r="B201" s="33">
        <f t="shared" si="10"/>
        <v>0</v>
      </c>
      <c r="C201" s="33">
        <f t="shared" si="11"/>
        <v>0</v>
      </c>
      <c r="D201" s="59">
        <f t="shared" si="12"/>
        <v>0</v>
      </c>
      <c r="H201" s="12" t="s">
        <v>220</v>
      </c>
      <c r="I201" s="1">
        <v>5142</v>
      </c>
      <c r="J201" s="1" t="s">
        <v>353</v>
      </c>
    </row>
    <row r="202" spans="2:10">
      <c r="B202" s="33">
        <f t="shared" si="10"/>
        <v>0</v>
      </c>
      <c r="C202" s="33">
        <f t="shared" si="11"/>
        <v>0</v>
      </c>
      <c r="D202" s="59">
        <f t="shared" si="12"/>
        <v>0</v>
      </c>
      <c r="H202" s="12" t="s">
        <v>121</v>
      </c>
      <c r="I202" s="1">
        <v>5141</v>
      </c>
      <c r="J202" s="1" t="s">
        <v>353</v>
      </c>
    </row>
    <row r="203" spans="2:10">
      <c r="B203" s="33">
        <f t="shared" si="10"/>
        <v>0</v>
      </c>
      <c r="C203" s="33">
        <f t="shared" si="11"/>
        <v>0</v>
      </c>
      <c r="D203" s="59">
        <f t="shared" si="12"/>
        <v>0</v>
      </c>
      <c r="H203" s="12" t="s">
        <v>89</v>
      </c>
      <c r="I203" s="1">
        <v>5140</v>
      </c>
      <c r="J203" s="1" t="s">
        <v>353</v>
      </c>
    </row>
    <row r="204" spans="2:10">
      <c r="B204" s="33">
        <f t="shared" si="10"/>
        <v>0</v>
      </c>
      <c r="C204" s="33">
        <f t="shared" si="11"/>
        <v>0</v>
      </c>
      <c r="D204" s="59">
        <f t="shared" si="12"/>
        <v>0</v>
      </c>
      <c r="H204" s="12" t="s">
        <v>64</v>
      </c>
      <c r="I204" s="1">
        <v>5212</v>
      </c>
      <c r="J204" s="1" t="s">
        <v>353</v>
      </c>
    </row>
    <row r="205" spans="2:10">
      <c r="B205" s="33">
        <f t="shared" si="10"/>
        <v>0</v>
      </c>
      <c r="C205" s="33">
        <f t="shared" si="11"/>
        <v>0</v>
      </c>
      <c r="D205" s="59">
        <f t="shared" si="12"/>
        <v>0</v>
      </c>
      <c r="H205" s="12" t="s">
        <v>454</v>
      </c>
      <c r="I205" s="1">
        <v>5211</v>
      </c>
      <c r="J205" s="1" t="s">
        <v>353</v>
      </c>
    </row>
    <row r="206" spans="2:10">
      <c r="B206" s="33">
        <f t="shared" si="10"/>
        <v>0</v>
      </c>
      <c r="C206" s="33">
        <f t="shared" si="11"/>
        <v>0</v>
      </c>
      <c r="D206" s="59">
        <f t="shared" si="12"/>
        <v>0</v>
      </c>
      <c r="H206" s="12" t="s">
        <v>328</v>
      </c>
      <c r="I206" s="1">
        <v>5210</v>
      </c>
      <c r="J206" s="1" t="s">
        <v>353</v>
      </c>
    </row>
    <row r="207" spans="2:10">
      <c r="B207" s="33">
        <f t="shared" si="10"/>
        <v>0</v>
      </c>
      <c r="C207" s="33">
        <f t="shared" si="11"/>
        <v>0</v>
      </c>
      <c r="D207" s="59">
        <f t="shared" si="12"/>
        <v>0</v>
      </c>
      <c r="H207" s="12" t="s">
        <v>286</v>
      </c>
      <c r="I207" s="1">
        <v>5222</v>
      </c>
      <c r="J207" s="1" t="s">
        <v>353</v>
      </c>
    </row>
    <row r="208" spans="2:10">
      <c r="B208" s="33">
        <f t="shared" si="10"/>
        <v>0</v>
      </c>
      <c r="C208" s="33">
        <f t="shared" si="11"/>
        <v>0</v>
      </c>
      <c r="D208" s="59">
        <f t="shared" si="12"/>
        <v>0</v>
      </c>
      <c r="H208" s="12" t="s">
        <v>273</v>
      </c>
      <c r="I208" s="1">
        <v>5221</v>
      </c>
      <c r="J208" s="1" t="s">
        <v>353</v>
      </c>
    </row>
    <row r="209" spans="2:10">
      <c r="B209" s="33">
        <f t="shared" si="10"/>
        <v>0</v>
      </c>
      <c r="C209" s="33">
        <f t="shared" si="11"/>
        <v>0</v>
      </c>
      <c r="D209" s="59">
        <f t="shared" si="12"/>
        <v>0</v>
      </c>
      <c r="H209" s="12" t="s">
        <v>337</v>
      </c>
      <c r="I209" s="1">
        <v>5220</v>
      </c>
      <c r="J209" s="1" t="s">
        <v>353</v>
      </c>
    </row>
    <row r="210" spans="2:10">
      <c r="B210" s="33">
        <f t="shared" si="10"/>
        <v>0</v>
      </c>
      <c r="C210" s="33">
        <f t="shared" si="11"/>
        <v>0</v>
      </c>
      <c r="D210" s="59">
        <f t="shared" si="12"/>
        <v>0</v>
      </c>
      <c r="H210" s="12" t="s">
        <v>209</v>
      </c>
      <c r="I210" s="1">
        <v>6</v>
      </c>
      <c r="J210" s="1" t="s">
        <v>353</v>
      </c>
    </row>
    <row r="211" spans="2:10">
      <c r="B211" s="33">
        <f t="shared" si="10"/>
        <v>0</v>
      </c>
      <c r="C211" s="33">
        <f t="shared" si="11"/>
        <v>0</v>
      </c>
      <c r="D211" s="59">
        <f t="shared" si="12"/>
        <v>0</v>
      </c>
      <c r="H211" s="12" t="s">
        <v>188</v>
      </c>
      <c r="I211" s="1">
        <v>6012</v>
      </c>
      <c r="J211" s="1" t="s">
        <v>353</v>
      </c>
    </row>
    <row r="212" spans="2:10">
      <c r="B212" s="33">
        <f t="shared" si="10"/>
        <v>2800</v>
      </c>
      <c r="C212" s="33">
        <f t="shared" si="11"/>
        <v>0</v>
      </c>
      <c r="D212" s="59">
        <f t="shared" si="12"/>
        <v>2</v>
      </c>
      <c r="H212" s="12" t="s">
        <v>211</v>
      </c>
      <c r="I212" s="1">
        <v>6010</v>
      </c>
      <c r="J212" s="1" t="s">
        <v>353</v>
      </c>
    </row>
    <row r="213" spans="2:10">
      <c r="B213" s="33">
        <f t="shared" si="10"/>
        <v>0</v>
      </c>
      <c r="C213" s="33">
        <f t="shared" si="11"/>
        <v>0</v>
      </c>
      <c r="D213" s="59">
        <f t="shared" si="12"/>
        <v>0</v>
      </c>
      <c r="H213" s="12" t="s">
        <v>377</v>
      </c>
      <c r="I213" s="1">
        <v>6122</v>
      </c>
      <c r="J213" s="1" t="s">
        <v>353</v>
      </c>
    </row>
    <row r="214" spans="2:10">
      <c r="B214" s="33">
        <f t="shared" si="10"/>
        <v>150</v>
      </c>
      <c r="C214" s="33">
        <f t="shared" si="11"/>
        <v>0</v>
      </c>
      <c r="D214" s="59">
        <f t="shared" si="12"/>
        <v>1</v>
      </c>
      <c r="H214" s="12" t="s">
        <v>518</v>
      </c>
      <c r="I214" s="1">
        <v>6120</v>
      </c>
      <c r="J214" s="1" t="s">
        <v>353</v>
      </c>
    </row>
    <row r="215" spans="2:10">
      <c r="B215" s="33">
        <f t="shared" ref="B215:B235" si="13">SUMIF($I$6:$I$172,$I215,$B$6:$B$172)</f>
        <v>0</v>
      </c>
      <c r="C215" s="33">
        <f t="shared" ref="C215:C235" si="14">SUMIF($I$6:$I$172,$I215,$C$6:$C$172)</f>
        <v>0</v>
      </c>
      <c r="D215" s="59">
        <f t="shared" ref="D215:D236" si="15">COUNTIF($I$6:$I$172,$I215)</f>
        <v>0</v>
      </c>
      <c r="H215" s="12" t="s">
        <v>289</v>
      </c>
      <c r="I215" s="1">
        <v>6022</v>
      </c>
      <c r="J215" s="1" t="s">
        <v>353</v>
      </c>
    </row>
    <row r="216" spans="2:10">
      <c r="B216" s="33">
        <f t="shared" si="13"/>
        <v>0</v>
      </c>
      <c r="C216" s="33">
        <f t="shared" si="14"/>
        <v>0</v>
      </c>
      <c r="D216" s="59">
        <f t="shared" si="15"/>
        <v>0</v>
      </c>
      <c r="H216" s="12" t="s">
        <v>274</v>
      </c>
      <c r="I216" s="1">
        <v>6020</v>
      </c>
      <c r="J216" s="1" t="s">
        <v>353</v>
      </c>
    </row>
    <row r="217" spans="2:10">
      <c r="B217" s="33">
        <f t="shared" si="13"/>
        <v>0</v>
      </c>
      <c r="C217" s="33">
        <f t="shared" si="14"/>
        <v>0</v>
      </c>
      <c r="D217" s="59">
        <f t="shared" si="15"/>
        <v>0</v>
      </c>
      <c r="H217" s="12" t="s">
        <v>8</v>
      </c>
      <c r="I217" s="1">
        <v>6212</v>
      </c>
      <c r="J217" s="1" t="s">
        <v>353</v>
      </c>
    </row>
    <row r="218" spans="2:10">
      <c r="B218" s="33">
        <f t="shared" si="13"/>
        <v>200</v>
      </c>
      <c r="C218" s="33">
        <f t="shared" si="14"/>
        <v>0</v>
      </c>
      <c r="D218" s="59">
        <f t="shared" si="15"/>
        <v>3</v>
      </c>
      <c r="H218" s="12" t="s">
        <v>100</v>
      </c>
      <c r="I218" s="1">
        <v>6210</v>
      </c>
      <c r="J218" s="1" t="s">
        <v>353</v>
      </c>
    </row>
    <row r="219" spans="2:10">
      <c r="B219" s="33">
        <f t="shared" si="13"/>
        <v>0</v>
      </c>
      <c r="C219" s="33">
        <f t="shared" si="14"/>
        <v>0</v>
      </c>
      <c r="D219" s="59">
        <f t="shared" si="15"/>
        <v>0</v>
      </c>
      <c r="H219" s="6" t="s">
        <v>526</v>
      </c>
      <c r="I219" s="1">
        <v>7</v>
      </c>
    </row>
    <row r="220" spans="2:10">
      <c r="B220" s="33">
        <f t="shared" si="13"/>
        <v>0</v>
      </c>
      <c r="C220" s="33">
        <f t="shared" si="14"/>
        <v>0</v>
      </c>
      <c r="D220" s="59">
        <f t="shared" si="15"/>
        <v>0</v>
      </c>
      <c r="H220" s="6" t="s">
        <v>117</v>
      </c>
      <c r="I220" s="1">
        <v>8</v>
      </c>
    </row>
    <row r="221" spans="2:10">
      <c r="B221" s="33">
        <f t="shared" si="13"/>
        <v>0</v>
      </c>
      <c r="C221" s="33">
        <f t="shared" si="14"/>
        <v>0</v>
      </c>
      <c r="D221" s="59">
        <f t="shared" si="15"/>
        <v>0</v>
      </c>
      <c r="H221" s="6" t="s">
        <v>405</v>
      </c>
      <c r="I221" s="1">
        <v>9</v>
      </c>
    </row>
    <row r="222" spans="2:10">
      <c r="B222" s="33">
        <f t="shared" si="13"/>
        <v>0</v>
      </c>
      <c r="C222" s="33">
        <f t="shared" si="14"/>
        <v>0</v>
      </c>
      <c r="D222" s="59">
        <f t="shared" si="15"/>
        <v>0</v>
      </c>
      <c r="H222" s="6" t="s">
        <v>433</v>
      </c>
      <c r="I222" s="1">
        <v>10</v>
      </c>
      <c r="J222" s="1" t="s">
        <v>474</v>
      </c>
    </row>
    <row r="223" spans="2:10">
      <c r="B223" s="33">
        <f t="shared" si="13"/>
        <v>0</v>
      </c>
      <c r="C223" s="33">
        <f t="shared" si="14"/>
        <v>0</v>
      </c>
      <c r="D223" s="59">
        <f t="shared" si="15"/>
        <v>0</v>
      </c>
      <c r="H223" s="6" t="s">
        <v>355</v>
      </c>
      <c r="I223" s="1">
        <v>11</v>
      </c>
      <c r="J223" s="1" t="s">
        <v>474</v>
      </c>
    </row>
    <row r="224" spans="2:10">
      <c r="B224" s="33">
        <f t="shared" si="13"/>
        <v>0</v>
      </c>
      <c r="C224" s="33">
        <f t="shared" si="14"/>
        <v>0</v>
      </c>
      <c r="D224" s="59">
        <f t="shared" si="15"/>
        <v>0</v>
      </c>
      <c r="H224" s="6" t="s">
        <v>267</v>
      </c>
      <c r="I224" s="1">
        <v>12</v>
      </c>
      <c r="J224" s="1" t="s">
        <v>409</v>
      </c>
    </row>
    <row r="225" spans="2:10">
      <c r="B225" s="33">
        <f t="shared" si="13"/>
        <v>2092.4299999999998</v>
      </c>
      <c r="C225" s="33">
        <f t="shared" si="14"/>
        <v>-4469.33</v>
      </c>
      <c r="D225" s="59">
        <f t="shared" si="15"/>
        <v>3</v>
      </c>
      <c r="H225" s="6" t="s">
        <v>196</v>
      </c>
      <c r="I225" s="1">
        <v>13</v>
      </c>
      <c r="J225" s="1" t="s">
        <v>474</v>
      </c>
    </row>
    <row r="226" spans="2:10">
      <c r="B226" s="33">
        <f t="shared" si="13"/>
        <v>0</v>
      </c>
      <c r="C226" s="33">
        <f t="shared" si="14"/>
        <v>0</v>
      </c>
      <c r="D226" s="59">
        <f t="shared" si="15"/>
        <v>0</v>
      </c>
      <c r="H226" s="6" t="s">
        <v>342</v>
      </c>
      <c r="I226" s="1">
        <v>14</v>
      </c>
      <c r="J226" s="1" t="s">
        <v>474</v>
      </c>
    </row>
    <row r="227" spans="2:10">
      <c r="B227" s="33">
        <f t="shared" si="13"/>
        <v>0</v>
      </c>
      <c r="C227" s="33">
        <f t="shared" si="14"/>
        <v>0</v>
      </c>
      <c r="D227" s="59">
        <f t="shared" si="15"/>
        <v>0</v>
      </c>
      <c r="H227" s="6" t="s">
        <v>151</v>
      </c>
      <c r="I227" s="1">
        <v>15</v>
      </c>
    </row>
    <row r="228" spans="2:10">
      <c r="B228" s="33">
        <f t="shared" si="13"/>
        <v>3090</v>
      </c>
      <c r="C228" s="33">
        <f t="shared" si="14"/>
        <v>-20</v>
      </c>
      <c r="D228" s="59">
        <f t="shared" si="15"/>
        <v>41</v>
      </c>
      <c r="H228" s="6" t="s">
        <v>112</v>
      </c>
      <c r="I228" s="1">
        <v>16</v>
      </c>
      <c r="J228" s="1" t="s">
        <v>112</v>
      </c>
    </row>
    <row r="229" spans="2:10">
      <c r="B229" s="33">
        <f t="shared" si="13"/>
        <v>0</v>
      </c>
      <c r="C229" s="33">
        <f t="shared" si="14"/>
        <v>0</v>
      </c>
      <c r="D229" s="59">
        <f t="shared" si="15"/>
        <v>0</v>
      </c>
      <c r="H229" s="6" t="s">
        <v>372</v>
      </c>
      <c r="I229" s="1">
        <v>17</v>
      </c>
      <c r="J229" s="1" t="s">
        <v>474</v>
      </c>
    </row>
    <row r="230" spans="2:10">
      <c r="B230" s="33">
        <f t="shared" si="13"/>
        <v>0</v>
      </c>
      <c r="C230" s="33">
        <f t="shared" si="14"/>
        <v>0</v>
      </c>
      <c r="D230" s="59">
        <f t="shared" si="15"/>
        <v>0</v>
      </c>
      <c r="H230" s="6" t="s">
        <v>338</v>
      </c>
      <c r="I230" s="1">
        <v>18</v>
      </c>
    </row>
    <row r="231" spans="2:10">
      <c r="B231" s="33">
        <f t="shared" si="13"/>
        <v>0</v>
      </c>
      <c r="C231" s="33">
        <f t="shared" si="14"/>
        <v>0</v>
      </c>
      <c r="D231" s="59">
        <f t="shared" si="15"/>
        <v>0</v>
      </c>
      <c r="H231" s="6" t="s">
        <v>368</v>
      </c>
      <c r="I231" s="1">
        <v>19</v>
      </c>
      <c r="J231" s="1" t="s">
        <v>474</v>
      </c>
    </row>
    <row r="232" spans="2:10">
      <c r="B232" s="33">
        <f t="shared" si="13"/>
        <v>0</v>
      </c>
      <c r="C232" s="33">
        <f t="shared" si="14"/>
        <v>0</v>
      </c>
      <c r="D232" s="59">
        <f t="shared" si="15"/>
        <v>0</v>
      </c>
      <c r="H232" s="6" t="s">
        <v>450</v>
      </c>
      <c r="I232" s="1">
        <v>20</v>
      </c>
      <c r="J232" s="1" t="s">
        <v>474</v>
      </c>
    </row>
    <row r="233" spans="2:10">
      <c r="B233" s="33">
        <f t="shared" si="13"/>
        <v>1100</v>
      </c>
      <c r="C233" s="33">
        <f t="shared" si="14"/>
        <v>-14455.29</v>
      </c>
      <c r="D233" s="59">
        <f t="shared" si="15"/>
        <v>6</v>
      </c>
      <c r="H233" s="6" t="s">
        <v>152</v>
      </c>
      <c r="I233" s="1">
        <v>21</v>
      </c>
    </row>
    <row r="234" spans="2:10">
      <c r="B234" s="33">
        <f t="shared" si="13"/>
        <v>0</v>
      </c>
      <c r="C234" s="33">
        <f t="shared" si="14"/>
        <v>0</v>
      </c>
      <c r="D234" s="59">
        <f t="shared" si="15"/>
        <v>0</v>
      </c>
      <c r="H234" s="6" t="s">
        <v>248</v>
      </c>
      <c r="I234" s="1">
        <v>22</v>
      </c>
    </row>
    <row r="235" spans="2:10">
      <c r="B235" s="33">
        <f t="shared" si="13"/>
        <v>1305</v>
      </c>
      <c r="C235" s="33">
        <f t="shared" si="14"/>
        <v>0</v>
      </c>
      <c r="D235" s="59">
        <f t="shared" si="15"/>
        <v>3</v>
      </c>
      <c r="H235" s="6" t="s">
        <v>354</v>
      </c>
      <c r="I235" s="1">
        <v>23</v>
      </c>
      <c r="J235" s="1" t="s">
        <v>195</v>
      </c>
    </row>
    <row r="236" spans="2:10">
      <c r="B236" s="33">
        <f>SUM(B6:B7)</f>
        <v>45285.33</v>
      </c>
      <c r="C236" s="33">
        <f>SUM(C6:C7)</f>
        <v>0</v>
      </c>
      <c r="D236" s="59">
        <f t="shared" si="15"/>
        <v>2</v>
      </c>
      <c r="H236" s="1" t="s">
        <v>122</v>
      </c>
      <c r="I236" s="1">
        <v>90</v>
      </c>
      <c r="J236" s="1" t="s">
        <v>409</v>
      </c>
    </row>
    <row r="250" spans="2:2">
      <c r="B250"/>
    </row>
  </sheetData>
  <sheetCalcPr fullCalcOnLoad="1"/>
  <autoFilter ref="A6:I172"/>
  <mergeCells count="5">
    <mergeCell ref="A1:I1"/>
    <mergeCell ref="A3:I3"/>
    <mergeCell ref="A4:I4"/>
    <mergeCell ref="A175:I175"/>
    <mergeCell ref="A180:I180"/>
  </mergeCells>
  <phoneticPr fontId="6" type="noConversion"/>
  <conditionalFormatting sqref="B176:C176 B181:C181">
    <cfRule type="expression" dxfId="22" priority="0" stopIfTrue="1">
      <formula>0</formula>
    </cfRule>
  </conditionalFormatting>
  <conditionalFormatting sqref="H179 G177:G178">
    <cfRule type="expression" dxfId="21" priority="0" stopIfTrue="1">
      <formula>0</formula>
    </cfRule>
  </conditionalFormatting>
  <conditionalFormatting sqref="H183:H235">
    <cfRule type="expression" dxfId="20" priority="0" stopIfTrue="1">
      <formula>0</formula>
    </cfRule>
    <cfRule type="expression" dxfId="19" priority="0" stopIfTrue="1">
      <formula>0</formula>
    </cfRule>
  </conditionalFormatting>
  <dataValidations count="4">
    <dataValidation type="list" operator="equal" allowBlank="1" sqref="G6:G16 G18:G29 G31 G33 G35:G38 G40 G42 G44 G46 G48 G50 G52 G54 G56 G58:G61 G63 G65 G67:G69 G71 G73 G75 G77 G79 G81 G83 G85 G87:G88 G90 G92 G94:G101 G103 G105 G107:G122 G124 G126 G128 G130 G132 G134:G172">
      <formula1>$G$177:$G$178</formula1>
    </dataValidation>
    <dataValidation type="list" allowBlank="1" showInputMessage="1" showErrorMessage="1" sqref="H6:H16 H18:H29 H31 H33 H35:H38 H40 H42 H44 H46 H48 H50 H52 H54 H56 H58:H61 H63 H65 H67:H69 H71 H73 H75 H77 H79 H81 H83 H85 H87:H88 H90 H92 H94:H101 H103 H105 H107:H122 H124 H126 H128 H130 H132 H134:H172">
      <formula1>$H$183:$H$235</formula1>
    </dataValidation>
    <dataValidation type="list" operator="equal" allowBlank="1" sqref="G66">
      <formula1>$G$170:$G$171</formula1>
    </dataValidation>
    <dataValidation type="list" allowBlank="1" showInputMessage="1" showErrorMessage="1" sqref="H66">
      <formula1>$H$176:$H$228</formula1>
    </dataValidation>
  </dataValidations>
  <pageMargins left="0.2" right="0.2" top="0.75" bottom="0.75" header="0.51" footer="0.51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T125"/>
  <sheetViews>
    <sheetView topLeftCell="A30" zoomScale="125" zoomScaleNormal="125" zoomScaleSheetLayoutView="75" zoomScalePageLayoutView="125" workbookViewId="0">
      <selection activeCell="E54" sqref="E54"/>
    </sheetView>
  </sheetViews>
  <sheetFormatPr baseColWidth="10" defaultColWidth="6.85546875" defaultRowHeight="15"/>
  <cols>
    <col min="1" max="1" width="8" style="1" customWidth="1"/>
    <col min="2" max="2" width="9.7109375" style="2" customWidth="1"/>
    <col min="3" max="3" width="9.7109375" style="1" customWidth="1"/>
    <col min="4" max="4" width="9.7109375" style="2" customWidth="1"/>
    <col min="5" max="5" width="20.28515625" style="1" customWidth="1"/>
    <col min="6" max="6" width="21.5703125" style="1" customWidth="1"/>
    <col min="7" max="7" width="8.28515625" style="1" customWidth="1"/>
    <col min="8" max="8" width="21.7109375" style="1" customWidth="1"/>
    <col min="9" max="9" width="5.42578125" style="1" customWidth="1"/>
    <col min="10" max="254" width="7.42578125" style="1" customWidth="1"/>
  </cols>
  <sheetData>
    <row r="1" spans="1:254" ht="41" customHeight="1">
      <c r="A1" s="95" t="s">
        <v>266</v>
      </c>
      <c r="B1" s="95"/>
      <c r="C1" s="95"/>
      <c r="D1" s="95"/>
      <c r="E1" s="95"/>
      <c r="F1" s="95"/>
      <c r="G1" s="95"/>
      <c r="H1" s="95"/>
      <c r="I1" s="95"/>
    </row>
    <row r="2" spans="1:254">
      <c r="A2"/>
      <c r="B2"/>
      <c r="C2"/>
      <c r="D2"/>
      <c r="E2"/>
      <c r="F2"/>
      <c r="G2"/>
      <c r="H2"/>
    </row>
    <row r="3" spans="1:254">
      <c r="A3" s="96" t="s">
        <v>11</v>
      </c>
      <c r="B3" s="97"/>
      <c r="C3" s="97"/>
      <c r="D3" s="97"/>
      <c r="E3" s="97"/>
      <c r="F3" s="97"/>
      <c r="G3" s="97"/>
      <c r="H3" s="97"/>
      <c r="I3" s="9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>
      <c r="A4" s="99" t="s">
        <v>424</v>
      </c>
      <c r="B4" s="100"/>
      <c r="C4" s="100"/>
      <c r="D4" s="100"/>
      <c r="E4" s="100"/>
      <c r="F4" s="100"/>
      <c r="G4" s="100"/>
      <c r="H4" s="100"/>
      <c r="I4" s="101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>
      <c r="A5" s="56" t="s">
        <v>150</v>
      </c>
      <c r="B5" s="4" t="s">
        <v>258</v>
      </c>
      <c r="C5" s="56" t="s">
        <v>352</v>
      </c>
      <c r="D5" s="4" t="s">
        <v>103</v>
      </c>
      <c r="E5" s="56" t="s">
        <v>104</v>
      </c>
      <c r="F5" s="56" t="s">
        <v>105</v>
      </c>
      <c r="G5" s="56" t="s">
        <v>113</v>
      </c>
      <c r="H5" s="56" t="s">
        <v>250</v>
      </c>
      <c r="I5" s="56" t="s">
        <v>528</v>
      </c>
    </row>
    <row r="6" spans="1:254">
      <c r="A6" s="5">
        <v>39448</v>
      </c>
      <c r="B6" s="37">
        <v>0</v>
      </c>
      <c r="C6" s="37"/>
      <c r="D6" s="36">
        <f>B6</f>
        <v>0</v>
      </c>
      <c r="E6" s="1" t="s">
        <v>192</v>
      </c>
      <c r="F6" s="1" t="s">
        <v>192</v>
      </c>
      <c r="G6" s="6" t="s">
        <v>202</v>
      </c>
      <c r="H6" s="6" t="s">
        <v>122</v>
      </c>
      <c r="I6" s="1">
        <f t="shared" ref="I6:I45" si="0">VLOOKUP($H6,$H$58:$I$111,2,0)</f>
        <v>90</v>
      </c>
    </row>
    <row r="7" spans="1:254">
      <c r="A7" s="5">
        <v>39448</v>
      </c>
      <c r="B7" s="36">
        <v>0</v>
      </c>
      <c r="C7" s="36"/>
      <c r="D7" s="36">
        <f>D6+B7+C7</f>
        <v>0</v>
      </c>
      <c r="E7" s="1" t="s">
        <v>192</v>
      </c>
      <c r="F7" s="1" t="s">
        <v>192</v>
      </c>
      <c r="G7" s="6" t="s">
        <v>148</v>
      </c>
      <c r="H7" s="6" t="s">
        <v>122</v>
      </c>
      <c r="I7" s="1">
        <f t="shared" si="0"/>
        <v>90</v>
      </c>
    </row>
    <row r="8" spans="1:254">
      <c r="A8" s="5">
        <v>39448</v>
      </c>
      <c r="B8" s="36">
        <v>0</v>
      </c>
      <c r="C8" s="36"/>
      <c r="D8" s="36">
        <f>D7+B8+C8</f>
        <v>0</v>
      </c>
      <c r="E8" s="1" t="s">
        <v>192</v>
      </c>
      <c r="F8" s="1" t="s">
        <v>192</v>
      </c>
      <c r="G8" s="6" t="s">
        <v>470</v>
      </c>
      <c r="H8" s="6" t="s">
        <v>122</v>
      </c>
      <c r="I8" s="1">
        <f t="shared" si="0"/>
        <v>90</v>
      </c>
    </row>
    <row r="9" spans="1:254">
      <c r="A9" s="5">
        <v>42386</v>
      </c>
      <c r="B9" s="36">
        <v>100</v>
      </c>
      <c r="C9" s="36"/>
      <c r="D9" s="36">
        <f t="shared" ref="D9:D47" si="1">D8+B9+C9</f>
        <v>100</v>
      </c>
      <c r="E9" s="6" t="s">
        <v>285</v>
      </c>
      <c r="F9" s="6" t="s">
        <v>30</v>
      </c>
      <c r="G9" s="6" t="s">
        <v>102</v>
      </c>
      <c r="H9" s="6" t="s">
        <v>245</v>
      </c>
      <c r="I9" s="1">
        <f t="shared" si="0"/>
        <v>6010</v>
      </c>
    </row>
    <row r="10" spans="1:254" s="1" customFormat="1" ht="14">
      <c r="A10" s="5">
        <v>42386</v>
      </c>
      <c r="B10" s="36"/>
      <c r="C10" s="36">
        <v>-3.2</v>
      </c>
      <c r="D10" s="36">
        <f t="shared" si="1"/>
        <v>96.8</v>
      </c>
      <c r="E10" s="6" t="s">
        <v>324</v>
      </c>
      <c r="F10" s="76" t="s">
        <v>322</v>
      </c>
      <c r="G10" s="6" t="s">
        <v>102</v>
      </c>
      <c r="H10" s="6" t="s">
        <v>323</v>
      </c>
      <c r="I10" s="1">
        <f t="shared" si="0"/>
        <v>4</v>
      </c>
    </row>
    <row r="11" spans="1:254" s="1" customFormat="1" ht="14">
      <c r="A11" s="5">
        <v>42427</v>
      </c>
      <c r="B11" s="36"/>
      <c r="C11" s="36">
        <v>-96.8</v>
      </c>
      <c r="D11" s="36">
        <f t="shared" si="1"/>
        <v>0</v>
      </c>
      <c r="E11" s="6" t="s">
        <v>244</v>
      </c>
      <c r="F11" s="6" t="s">
        <v>123</v>
      </c>
      <c r="G11" s="6" t="s">
        <v>102</v>
      </c>
      <c r="H11" s="6" t="s">
        <v>76</v>
      </c>
      <c r="I11" s="1">
        <f t="shared" si="0"/>
        <v>401</v>
      </c>
    </row>
    <row r="12" spans="1:254" s="1" customFormat="1" ht="14">
      <c r="A12" s="5">
        <v>42500</v>
      </c>
      <c r="B12" s="36">
        <v>100</v>
      </c>
      <c r="C12" s="36"/>
      <c r="D12" s="36">
        <f t="shared" si="1"/>
        <v>100</v>
      </c>
      <c r="E12" s="6" t="s">
        <v>222</v>
      </c>
      <c r="F12" s="80" t="s">
        <v>223</v>
      </c>
      <c r="G12" s="6" t="s">
        <v>102</v>
      </c>
      <c r="H12" s="6" t="s">
        <v>224</v>
      </c>
      <c r="I12" s="1">
        <f t="shared" si="0"/>
        <v>6010</v>
      </c>
    </row>
    <row r="13" spans="1:254" s="1" customFormat="1" ht="14">
      <c r="A13" s="5">
        <v>42500</v>
      </c>
      <c r="B13" s="36"/>
      <c r="C13" s="36">
        <v>-3.2</v>
      </c>
      <c r="D13" s="36">
        <f t="shared" si="1"/>
        <v>96.8</v>
      </c>
      <c r="E13" s="6" t="s">
        <v>324</v>
      </c>
      <c r="F13" s="80" t="s">
        <v>322</v>
      </c>
      <c r="G13" s="6" t="s">
        <v>470</v>
      </c>
      <c r="H13" s="6" t="s">
        <v>323</v>
      </c>
      <c r="I13" s="1">
        <f t="shared" si="0"/>
        <v>4</v>
      </c>
    </row>
    <row r="14" spans="1:254" s="1" customFormat="1" ht="14">
      <c r="A14" s="5">
        <v>42518</v>
      </c>
      <c r="B14" s="36"/>
      <c r="C14" s="36">
        <v>-96.8</v>
      </c>
      <c r="D14" s="36">
        <f t="shared" si="1"/>
        <v>0</v>
      </c>
      <c r="E14" s="6" t="s">
        <v>244</v>
      </c>
      <c r="F14" s="6" t="s">
        <v>15</v>
      </c>
      <c r="G14" s="6" t="s">
        <v>102</v>
      </c>
      <c r="H14" s="6" t="s">
        <v>97</v>
      </c>
      <c r="I14" s="1">
        <f t="shared" si="0"/>
        <v>401</v>
      </c>
    </row>
    <row r="15" spans="1:254" s="1" customFormat="1" ht="14">
      <c r="A15" s="5">
        <v>42563</v>
      </c>
      <c r="B15" s="36">
        <v>150</v>
      </c>
      <c r="C15" s="36"/>
      <c r="D15" s="36">
        <f t="shared" si="1"/>
        <v>150</v>
      </c>
      <c r="E15" s="83" t="s">
        <v>318</v>
      </c>
      <c r="F15" s="85" t="s">
        <v>460</v>
      </c>
      <c r="G15" s="6" t="s">
        <v>102</v>
      </c>
      <c r="H15" s="83" t="s">
        <v>475</v>
      </c>
      <c r="I15" s="1">
        <f t="shared" si="0"/>
        <v>6010</v>
      </c>
    </row>
    <row r="16" spans="1:254" s="1" customFormat="1" ht="14">
      <c r="A16" s="5">
        <v>42563</v>
      </c>
      <c r="B16" s="36"/>
      <c r="C16" s="36">
        <v>-4.6500000000000004</v>
      </c>
      <c r="D16" s="36">
        <f t="shared" si="1"/>
        <v>145.35</v>
      </c>
      <c r="E16" s="83" t="s">
        <v>264</v>
      </c>
      <c r="F16" s="85" t="s">
        <v>263</v>
      </c>
      <c r="G16" s="83" t="s">
        <v>102</v>
      </c>
      <c r="H16" s="83" t="s">
        <v>265</v>
      </c>
      <c r="I16" s="1">
        <f t="shared" si="0"/>
        <v>4</v>
      </c>
    </row>
    <row r="17" spans="1:9" s="1" customFormat="1" ht="14">
      <c r="A17" s="5">
        <v>42653</v>
      </c>
      <c r="B17" s="36">
        <v>-145.35</v>
      </c>
      <c r="C17" s="36"/>
      <c r="D17" s="36">
        <f t="shared" si="1"/>
        <v>0</v>
      </c>
      <c r="E17" s="83" t="s">
        <v>244</v>
      </c>
      <c r="F17" s="83" t="s">
        <v>123</v>
      </c>
      <c r="G17" s="83" t="s">
        <v>102</v>
      </c>
      <c r="H17" s="83" t="s">
        <v>76</v>
      </c>
      <c r="I17" s="1">
        <f t="shared" si="0"/>
        <v>401</v>
      </c>
    </row>
    <row r="18" spans="1:9" s="1" customFormat="1" ht="14">
      <c r="A18" s="5">
        <v>43068</v>
      </c>
      <c r="B18" s="36">
        <v>150</v>
      </c>
      <c r="C18" s="36"/>
      <c r="D18" s="36">
        <f t="shared" si="1"/>
        <v>150</v>
      </c>
      <c r="E18" s="83" t="s">
        <v>510</v>
      </c>
      <c r="F18" s="83" t="s">
        <v>511</v>
      </c>
      <c r="G18" s="83" t="s">
        <v>102</v>
      </c>
      <c r="H18" s="83" t="s">
        <v>512</v>
      </c>
      <c r="I18" s="1">
        <f t="shared" si="0"/>
        <v>6010</v>
      </c>
    </row>
    <row r="19" spans="1:9" s="1" customFormat="1" ht="14">
      <c r="A19" s="5">
        <v>43068</v>
      </c>
      <c r="B19" s="36"/>
      <c r="C19" s="36">
        <v>-4.6500000000000004</v>
      </c>
      <c r="D19" s="36">
        <f t="shared" si="1"/>
        <v>145.35</v>
      </c>
      <c r="E19" s="28" t="s">
        <v>148</v>
      </c>
      <c r="F19" s="90" t="s">
        <v>226</v>
      </c>
      <c r="G19" s="83" t="s">
        <v>102</v>
      </c>
      <c r="H19" s="90" t="s">
        <v>351</v>
      </c>
      <c r="I19" s="1">
        <f t="shared" si="0"/>
        <v>4</v>
      </c>
    </row>
    <row r="20" spans="1:9" s="1" customFormat="1" ht="14">
      <c r="A20" s="5">
        <v>43098</v>
      </c>
      <c r="B20" s="36">
        <v>150</v>
      </c>
      <c r="D20" s="36">
        <f t="shared" si="1"/>
        <v>295.35000000000002</v>
      </c>
      <c r="E20" s="83" t="s">
        <v>515</v>
      </c>
      <c r="F20" s="83" t="s">
        <v>511</v>
      </c>
      <c r="G20" s="83" t="s">
        <v>102</v>
      </c>
      <c r="H20" s="83" t="s">
        <v>512</v>
      </c>
      <c r="I20" s="1">
        <f t="shared" si="0"/>
        <v>6010</v>
      </c>
    </row>
    <row r="21" spans="1:9" s="1" customFormat="1" ht="14">
      <c r="A21" s="5">
        <v>43098</v>
      </c>
      <c r="B21" s="36"/>
      <c r="C21" s="36">
        <v>-4.6500000000000004</v>
      </c>
      <c r="D21" s="36">
        <f t="shared" si="1"/>
        <v>290.70000000000005</v>
      </c>
      <c r="E21" s="28" t="s">
        <v>148</v>
      </c>
      <c r="F21" s="90" t="s">
        <v>226</v>
      </c>
      <c r="G21" s="83" t="s">
        <v>102</v>
      </c>
      <c r="H21" s="90" t="s">
        <v>351</v>
      </c>
      <c r="I21" s="1">
        <f t="shared" si="0"/>
        <v>4</v>
      </c>
    </row>
    <row r="22" spans="1:9" s="1" customFormat="1" ht="14">
      <c r="A22" s="5"/>
      <c r="B22" s="36"/>
      <c r="C22" s="36"/>
      <c r="D22" s="36">
        <f t="shared" si="1"/>
        <v>290.70000000000005</v>
      </c>
      <c r="E22" s="6"/>
      <c r="F22" s="6"/>
      <c r="G22" s="6" t="s">
        <v>279</v>
      </c>
      <c r="H22" s="6"/>
      <c r="I22" s="1">
        <f t="shared" si="0"/>
        <v>0</v>
      </c>
    </row>
    <row r="23" spans="1:9" s="1" customFormat="1" ht="14">
      <c r="A23" s="5"/>
      <c r="B23" s="36"/>
      <c r="C23" s="36"/>
      <c r="D23" s="36">
        <f t="shared" si="1"/>
        <v>290.70000000000005</v>
      </c>
      <c r="E23" s="6"/>
      <c r="F23" s="6"/>
      <c r="G23" s="6" t="s">
        <v>279</v>
      </c>
      <c r="H23" s="6"/>
      <c r="I23" s="1">
        <f t="shared" si="0"/>
        <v>0</v>
      </c>
    </row>
    <row r="24" spans="1:9" s="1" customFormat="1" ht="14">
      <c r="A24" s="5"/>
      <c r="B24" s="36"/>
      <c r="C24" s="36"/>
      <c r="D24" s="36">
        <f t="shared" si="1"/>
        <v>290.70000000000005</v>
      </c>
      <c r="E24" s="63"/>
      <c r="F24" s="6"/>
      <c r="G24" s="6" t="s">
        <v>279</v>
      </c>
      <c r="H24" s="6"/>
      <c r="I24" s="1">
        <f t="shared" si="0"/>
        <v>0</v>
      </c>
    </row>
    <row r="25" spans="1:9" s="1" customFormat="1" ht="14">
      <c r="A25" s="5"/>
      <c r="B25" s="36"/>
      <c r="C25" s="36"/>
      <c r="D25" s="36">
        <f t="shared" si="1"/>
        <v>290.70000000000005</v>
      </c>
      <c r="E25" s="6"/>
      <c r="F25" s="6"/>
      <c r="G25" s="6" t="s">
        <v>279</v>
      </c>
      <c r="H25" s="6"/>
      <c r="I25" s="1">
        <f t="shared" si="0"/>
        <v>0</v>
      </c>
    </row>
    <row r="26" spans="1:9" s="1" customFormat="1" ht="14">
      <c r="A26" s="5"/>
      <c r="B26" s="36"/>
      <c r="C26" s="36"/>
      <c r="D26" s="36">
        <f t="shared" si="1"/>
        <v>290.70000000000005</v>
      </c>
      <c r="E26" s="6"/>
      <c r="F26" s="6"/>
      <c r="G26" s="6" t="s">
        <v>279</v>
      </c>
      <c r="H26" s="6"/>
      <c r="I26" s="1">
        <f t="shared" si="0"/>
        <v>0</v>
      </c>
    </row>
    <row r="27" spans="1:9" s="1" customFormat="1" ht="14">
      <c r="A27" s="5"/>
      <c r="B27" s="36"/>
      <c r="C27" s="36"/>
      <c r="D27" s="36">
        <f t="shared" si="1"/>
        <v>290.70000000000005</v>
      </c>
      <c r="E27" s="6"/>
      <c r="F27" s="6"/>
      <c r="G27" s="6" t="s">
        <v>279</v>
      </c>
      <c r="H27" s="6"/>
      <c r="I27" s="1">
        <f t="shared" si="0"/>
        <v>0</v>
      </c>
    </row>
    <row r="28" spans="1:9" s="1" customFormat="1" ht="14">
      <c r="A28" s="5"/>
      <c r="B28" s="36"/>
      <c r="C28" s="36"/>
      <c r="D28" s="36">
        <f t="shared" si="1"/>
        <v>290.70000000000005</v>
      </c>
      <c r="E28" s="6"/>
      <c r="F28" s="6"/>
      <c r="G28" s="6" t="s">
        <v>279</v>
      </c>
      <c r="H28" s="6"/>
      <c r="I28" s="1">
        <f t="shared" si="0"/>
        <v>0</v>
      </c>
    </row>
    <row r="29" spans="1:9" s="1" customFormat="1" ht="14">
      <c r="A29" s="5"/>
      <c r="B29" s="36"/>
      <c r="C29" s="36"/>
      <c r="D29" s="36">
        <f t="shared" si="1"/>
        <v>290.70000000000005</v>
      </c>
      <c r="E29" s="6"/>
      <c r="F29" s="6"/>
      <c r="G29" s="6" t="s">
        <v>279</v>
      </c>
      <c r="H29" s="6"/>
      <c r="I29" s="1">
        <f t="shared" si="0"/>
        <v>0</v>
      </c>
    </row>
    <row r="30" spans="1:9" s="1" customFormat="1" ht="14">
      <c r="A30" s="5"/>
      <c r="B30" s="36"/>
      <c r="C30" s="36"/>
      <c r="D30" s="36">
        <f t="shared" si="1"/>
        <v>290.70000000000005</v>
      </c>
      <c r="E30" s="6"/>
      <c r="F30" s="6"/>
      <c r="G30" s="6" t="s">
        <v>279</v>
      </c>
      <c r="H30" s="6"/>
      <c r="I30" s="1">
        <f t="shared" si="0"/>
        <v>0</v>
      </c>
    </row>
    <row r="31" spans="1:9" s="1" customFormat="1" ht="14">
      <c r="A31" s="5"/>
      <c r="B31" s="36"/>
      <c r="C31" s="36"/>
      <c r="D31" s="36">
        <f t="shared" si="1"/>
        <v>290.70000000000005</v>
      </c>
      <c r="E31" s="6"/>
      <c r="F31" s="6"/>
      <c r="G31" s="6" t="s">
        <v>279</v>
      </c>
      <c r="H31" s="6"/>
      <c r="I31" s="1">
        <f t="shared" si="0"/>
        <v>0</v>
      </c>
    </row>
    <row r="32" spans="1:9" s="1" customFormat="1" ht="14">
      <c r="A32" s="5"/>
      <c r="B32" s="36"/>
      <c r="C32" s="36"/>
      <c r="D32" s="36">
        <f t="shared" si="1"/>
        <v>290.70000000000005</v>
      </c>
      <c r="E32" s="6"/>
      <c r="F32" s="6"/>
      <c r="G32" s="6" t="s">
        <v>279</v>
      </c>
      <c r="H32" s="6"/>
      <c r="I32" s="1">
        <f t="shared" si="0"/>
        <v>0</v>
      </c>
    </row>
    <row r="33" spans="1:9" s="1" customFormat="1" ht="14">
      <c r="A33" s="5"/>
      <c r="B33" s="36"/>
      <c r="C33" s="36"/>
      <c r="D33" s="36">
        <f t="shared" si="1"/>
        <v>290.70000000000005</v>
      </c>
      <c r="E33" s="6"/>
      <c r="F33" s="6"/>
      <c r="G33" s="6" t="s">
        <v>279</v>
      </c>
      <c r="H33" s="6"/>
      <c r="I33" s="1">
        <f t="shared" si="0"/>
        <v>0</v>
      </c>
    </row>
    <row r="34" spans="1:9" s="1" customFormat="1" ht="14">
      <c r="A34" s="5"/>
      <c r="B34" s="36"/>
      <c r="D34" s="36">
        <f t="shared" si="1"/>
        <v>290.70000000000005</v>
      </c>
      <c r="E34" s="6"/>
      <c r="F34" s="6"/>
      <c r="G34" s="6" t="s">
        <v>279</v>
      </c>
      <c r="H34" s="6"/>
      <c r="I34" s="1">
        <f t="shared" si="0"/>
        <v>0</v>
      </c>
    </row>
    <row r="35" spans="1:9" s="1" customFormat="1" ht="14">
      <c r="A35" s="5"/>
      <c r="B35" s="36"/>
      <c r="C35" s="36"/>
      <c r="D35" s="36">
        <f t="shared" si="1"/>
        <v>290.70000000000005</v>
      </c>
      <c r="E35" s="6"/>
      <c r="F35" s="6"/>
      <c r="G35" s="6" t="s">
        <v>279</v>
      </c>
      <c r="H35" s="6"/>
      <c r="I35" s="1">
        <f t="shared" si="0"/>
        <v>0</v>
      </c>
    </row>
    <row r="36" spans="1:9" s="1" customFormat="1" ht="14">
      <c r="A36" s="5"/>
      <c r="B36" s="36"/>
      <c r="C36" s="36"/>
      <c r="D36" s="36">
        <f t="shared" si="1"/>
        <v>290.70000000000005</v>
      </c>
      <c r="E36" s="6"/>
      <c r="F36" s="6"/>
      <c r="G36" s="6" t="s">
        <v>279</v>
      </c>
      <c r="H36" s="64"/>
      <c r="I36" s="1">
        <f t="shared" si="0"/>
        <v>0</v>
      </c>
    </row>
    <row r="37" spans="1:9" s="1" customFormat="1" ht="14">
      <c r="A37" s="5"/>
      <c r="B37" s="36"/>
      <c r="C37" s="36"/>
      <c r="D37" s="36">
        <f t="shared" si="1"/>
        <v>290.70000000000005</v>
      </c>
      <c r="E37" s="6"/>
      <c r="F37" s="6"/>
      <c r="G37" s="6" t="s">
        <v>279</v>
      </c>
      <c r="H37" s="6"/>
      <c r="I37" s="1">
        <f t="shared" si="0"/>
        <v>0</v>
      </c>
    </row>
    <row r="38" spans="1:9" s="1" customFormat="1" ht="14">
      <c r="A38" s="5"/>
      <c r="B38" s="36"/>
      <c r="C38" s="36"/>
      <c r="D38" s="36">
        <f t="shared" si="1"/>
        <v>290.70000000000005</v>
      </c>
      <c r="E38" s="6"/>
      <c r="F38" s="6"/>
      <c r="G38" s="6" t="s">
        <v>208</v>
      </c>
      <c r="H38" s="6"/>
      <c r="I38" s="1">
        <f t="shared" si="0"/>
        <v>0</v>
      </c>
    </row>
    <row r="39" spans="1:9" s="1" customFormat="1" ht="14">
      <c r="A39" s="5"/>
      <c r="B39" s="36"/>
      <c r="C39" s="36"/>
      <c r="D39" s="36">
        <f t="shared" si="1"/>
        <v>290.70000000000005</v>
      </c>
      <c r="E39" s="6"/>
      <c r="F39" s="6"/>
      <c r="G39" s="6" t="s">
        <v>279</v>
      </c>
      <c r="H39" s="6"/>
      <c r="I39" s="1">
        <f t="shared" si="0"/>
        <v>0</v>
      </c>
    </row>
    <row r="40" spans="1:9" s="1" customFormat="1" ht="14">
      <c r="A40" s="5"/>
      <c r="B40" s="36"/>
      <c r="C40" s="36"/>
      <c r="D40" s="36">
        <f t="shared" si="1"/>
        <v>290.70000000000005</v>
      </c>
      <c r="E40" s="6"/>
      <c r="F40" s="6"/>
      <c r="G40" s="6" t="s">
        <v>208</v>
      </c>
      <c r="H40" s="6"/>
      <c r="I40" s="1">
        <f t="shared" si="0"/>
        <v>0</v>
      </c>
    </row>
    <row r="41" spans="1:9" s="1" customFormat="1" ht="14">
      <c r="A41" s="5"/>
      <c r="B41" s="36"/>
      <c r="C41" s="36"/>
      <c r="D41" s="36">
        <f t="shared" si="1"/>
        <v>290.70000000000005</v>
      </c>
      <c r="E41" s="6"/>
      <c r="F41" s="6"/>
      <c r="G41" s="6" t="s">
        <v>279</v>
      </c>
      <c r="H41" s="6"/>
      <c r="I41" s="1">
        <f t="shared" si="0"/>
        <v>0</v>
      </c>
    </row>
    <row r="42" spans="1:9" s="1" customFormat="1" ht="14">
      <c r="A42" s="5"/>
      <c r="B42" s="36"/>
      <c r="C42" s="36"/>
      <c r="D42" s="36">
        <f t="shared" si="1"/>
        <v>290.70000000000005</v>
      </c>
      <c r="E42" s="6"/>
      <c r="F42" s="65"/>
      <c r="G42" s="6" t="s">
        <v>279</v>
      </c>
      <c r="H42" s="6"/>
      <c r="I42" s="1">
        <f t="shared" si="0"/>
        <v>0</v>
      </c>
    </row>
    <row r="43" spans="1:9" s="1" customFormat="1" ht="14">
      <c r="A43" s="5"/>
      <c r="B43" s="36"/>
      <c r="C43" s="36"/>
      <c r="D43" s="36">
        <f t="shared" si="1"/>
        <v>290.70000000000005</v>
      </c>
      <c r="E43" s="6"/>
      <c r="F43" s="6"/>
      <c r="G43" s="6" t="s">
        <v>314</v>
      </c>
      <c r="H43" s="6"/>
      <c r="I43" s="1">
        <f t="shared" si="0"/>
        <v>0</v>
      </c>
    </row>
    <row r="44" spans="1:9" s="1" customFormat="1" ht="14">
      <c r="A44" s="5"/>
      <c r="B44" s="36"/>
      <c r="C44" s="36"/>
      <c r="D44" s="36">
        <f t="shared" si="1"/>
        <v>290.70000000000005</v>
      </c>
      <c r="E44" s="6"/>
      <c r="F44" s="6"/>
      <c r="G44" s="6" t="s">
        <v>279</v>
      </c>
      <c r="H44" s="6"/>
      <c r="I44" s="1">
        <f t="shared" si="0"/>
        <v>0</v>
      </c>
    </row>
    <row r="45" spans="1:9" s="1" customFormat="1" ht="14">
      <c r="A45" s="5"/>
      <c r="B45" s="36"/>
      <c r="C45" s="36"/>
      <c r="D45" s="36">
        <f t="shared" si="1"/>
        <v>290.70000000000005</v>
      </c>
      <c r="E45" s="6"/>
      <c r="F45" s="6"/>
      <c r="G45" s="6" t="s">
        <v>367</v>
      </c>
      <c r="H45" s="6"/>
      <c r="I45" s="1">
        <f t="shared" si="0"/>
        <v>0</v>
      </c>
    </row>
    <row r="46" spans="1:9">
      <c r="A46" s="29"/>
      <c r="B46" s="38"/>
      <c r="C46" s="38"/>
      <c r="D46" s="36">
        <f t="shared" si="1"/>
        <v>290.70000000000005</v>
      </c>
      <c r="E46" s="6"/>
      <c r="F46" s="6"/>
      <c r="G46" s="6" t="s">
        <v>367</v>
      </c>
      <c r="H46" s="6"/>
      <c r="I46" s="1">
        <f>VLOOKUP($H46,Journal!$H$182:$I$236,2,0)</f>
        <v>0</v>
      </c>
    </row>
    <row r="47" spans="1:9">
      <c r="A47" s="5"/>
      <c r="B47" s="38"/>
      <c r="C47" s="38"/>
      <c r="D47" s="36">
        <f t="shared" si="1"/>
        <v>290.70000000000005</v>
      </c>
      <c r="E47" s="69"/>
      <c r="F47" s="69"/>
      <c r="G47" s="6" t="s">
        <v>367</v>
      </c>
      <c r="H47" s="69"/>
      <c r="I47" s="1">
        <f>VLOOKUP($H47,Journal!$H$182:$I$236,2,0)</f>
        <v>0</v>
      </c>
    </row>
    <row r="48" spans="1:9" s="1" customFormat="1" ht="14">
      <c r="B48" s="36"/>
      <c r="C48" s="36"/>
      <c r="D48" s="36"/>
    </row>
    <row r="49" spans="1:10" s="1" customFormat="1" thickBot="1">
      <c r="B49" s="39">
        <f>SUM(B6:B47)</f>
        <v>504.65</v>
      </c>
      <c r="C49" s="39">
        <f>SUM(C6:C47)</f>
        <v>-213.95000000000002</v>
      </c>
      <c r="D49" s="39">
        <f>B49+C49</f>
        <v>290.69999999999993</v>
      </c>
    </row>
    <row r="50" spans="1:10" s="1" customFormat="1" ht="14">
      <c r="A50" s="102" t="s">
        <v>29</v>
      </c>
      <c r="B50" s="102"/>
      <c r="C50" s="102"/>
      <c r="D50" s="102"/>
      <c r="E50" s="102"/>
      <c r="F50" s="102"/>
      <c r="G50" s="102"/>
      <c r="H50" s="102"/>
      <c r="I50" s="102"/>
    </row>
    <row r="51" spans="1:10" s="1" customFormat="1" ht="14">
      <c r="A51" s="8"/>
      <c r="B51" s="9">
        <f>SUM(B52:B54)</f>
        <v>504.65</v>
      </c>
      <c r="C51" s="9">
        <f>SUM(C52:C54)</f>
        <v>-213.95000000000002</v>
      </c>
      <c r="D51" s="10"/>
      <c r="E51" s="8"/>
      <c r="F51" s="8"/>
      <c r="G51" s="8"/>
      <c r="H51" s="8"/>
      <c r="I51" s="8"/>
    </row>
    <row r="52" spans="1:10" s="1" customFormat="1" ht="14">
      <c r="B52" s="33">
        <f>SUMIF($G$6:$G$35,$G52,$B$6:$B$35)</f>
        <v>0</v>
      </c>
      <c r="C52" s="33">
        <f>SUMIF($G$6:$G$35,$G52,$C$6:$C$35)</f>
        <v>0</v>
      </c>
      <c r="D52" s="33">
        <f>B52+C52</f>
        <v>0</v>
      </c>
      <c r="F52" s="6"/>
      <c r="G52" s="6" t="s">
        <v>202</v>
      </c>
    </row>
    <row r="53" spans="1:10" s="1" customFormat="1" ht="14">
      <c r="B53" s="33">
        <f>SUMIF($G$6:$G$35,$G53,$B$6:$B$35)</f>
        <v>0</v>
      </c>
      <c r="C53" s="33">
        <f>SUMIF($G$6:$G$35,$G53,$C$6:$C$35)</f>
        <v>0</v>
      </c>
      <c r="D53" s="33">
        <f>B53+C53</f>
        <v>0</v>
      </c>
      <c r="E53" s="40"/>
      <c r="F53" s="2"/>
      <c r="G53" s="6" t="s">
        <v>148</v>
      </c>
      <c r="H53" s="2"/>
    </row>
    <row r="54" spans="1:10" s="1" customFormat="1" ht="14">
      <c r="B54" s="33">
        <f>SUMIF($G$6:$G$47,$G54,$B$6:$B$47)</f>
        <v>504.65</v>
      </c>
      <c r="C54" s="33">
        <f>SUMIF($G$6:$G$47,$G54,$C$6:$C$47)</f>
        <v>-213.95000000000002</v>
      </c>
      <c r="D54" s="33">
        <f>B54+C54</f>
        <v>290.69999999999993</v>
      </c>
      <c r="E54" s="57" t="s">
        <v>488</v>
      </c>
      <c r="F54" s="2"/>
      <c r="G54" s="6" t="s">
        <v>470</v>
      </c>
      <c r="H54" s="2"/>
    </row>
    <row r="55" spans="1:10" s="1" customFormat="1" ht="14">
      <c r="B55" s="33"/>
      <c r="C55" s="33"/>
      <c r="D55" s="33">
        <f>D49-B111</f>
        <v>290.69999999999993</v>
      </c>
      <c r="E55" s="6" t="s">
        <v>302</v>
      </c>
    </row>
    <row r="56" spans="1:10" s="1" customFormat="1" ht="14">
      <c r="A56" s="102" t="s">
        <v>449</v>
      </c>
      <c r="B56" s="102"/>
      <c r="C56" s="102"/>
      <c r="D56" s="102"/>
      <c r="E56" s="102"/>
      <c r="F56" s="102"/>
      <c r="G56" s="102"/>
      <c r="H56" s="102"/>
      <c r="I56" s="102"/>
    </row>
    <row r="57" spans="1:10" s="1" customFormat="1" ht="14">
      <c r="A57" s="8"/>
      <c r="B57" s="34">
        <f>SUM(B58:B111)</f>
        <v>504.65</v>
      </c>
      <c r="C57" s="34">
        <f>SUM(C58:C111)</f>
        <v>-213.95</v>
      </c>
      <c r="D57" s="10"/>
      <c r="E57" s="8"/>
      <c r="F57" s="8"/>
      <c r="G57" s="8"/>
      <c r="H57" s="8"/>
      <c r="I57" s="8"/>
    </row>
    <row r="58" spans="1:10" s="1" customFormat="1" ht="14">
      <c r="B58" s="33"/>
      <c r="C58" s="33"/>
      <c r="D58" s="2"/>
      <c r="E58" s="2"/>
      <c r="H58" s="1">
        <v>0</v>
      </c>
      <c r="I58" s="1">
        <v>0</v>
      </c>
      <c r="J58" s="11" t="s">
        <v>203</v>
      </c>
    </row>
    <row r="59" spans="1:10" s="1" customFormat="1" ht="14">
      <c r="B59" s="33">
        <f t="shared" ref="B59:B90" si="2">SUMIF($I$6:$I$48,$I59,$B$6:$B$48)</f>
        <v>0</v>
      </c>
      <c r="C59" s="33">
        <f t="shared" ref="C59:C90" si="3">SUMIF($I$6:$I$48,$I59,$C$6:$C$48)</f>
        <v>0</v>
      </c>
      <c r="D59" s="59">
        <f t="shared" ref="D59:D111" si="4">COUNTIF($I$6:$I$35,$I59)</f>
        <v>0</v>
      </c>
      <c r="H59" s="6" t="s">
        <v>106</v>
      </c>
      <c r="I59" s="1">
        <v>1</v>
      </c>
      <c r="J59" s="6" t="s">
        <v>269</v>
      </c>
    </row>
    <row r="60" spans="1:10" s="1" customFormat="1" ht="14">
      <c r="B60" s="33">
        <f t="shared" si="2"/>
        <v>0</v>
      </c>
      <c r="C60" s="33">
        <f t="shared" si="3"/>
        <v>0</v>
      </c>
      <c r="D60" s="59">
        <f t="shared" si="4"/>
        <v>0</v>
      </c>
      <c r="H60" s="6" t="s">
        <v>204</v>
      </c>
      <c r="I60" s="1">
        <v>2</v>
      </c>
      <c r="J60" s="30" t="s">
        <v>474</v>
      </c>
    </row>
    <row r="61" spans="1:10" s="1" customFormat="1" ht="14">
      <c r="B61" s="33">
        <f t="shared" si="2"/>
        <v>0</v>
      </c>
      <c r="C61" s="33">
        <f t="shared" si="3"/>
        <v>0</v>
      </c>
      <c r="D61" s="59">
        <f t="shared" si="4"/>
        <v>0</v>
      </c>
      <c r="H61" s="6" t="s">
        <v>78</v>
      </c>
      <c r="I61" s="1">
        <v>3</v>
      </c>
      <c r="J61" s="1" t="s">
        <v>78</v>
      </c>
    </row>
    <row r="62" spans="1:10" s="1" customFormat="1" ht="14">
      <c r="B62" s="33">
        <f t="shared" si="2"/>
        <v>0</v>
      </c>
      <c r="C62" s="33">
        <f t="shared" si="3"/>
        <v>-20.350000000000001</v>
      </c>
      <c r="D62" s="59">
        <f t="shared" si="4"/>
        <v>5</v>
      </c>
      <c r="H62" s="6" t="s">
        <v>351</v>
      </c>
      <c r="I62" s="1">
        <v>4</v>
      </c>
      <c r="J62" s="1" t="s">
        <v>409</v>
      </c>
    </row>
    <row r="63" spans="1:10">
      <c r="B63" s="33">
        <f t="shared" si="2"/>
        <v>-145.35</v>
      </c>
      <c r="C63" s="33">
        <f t="shared" si="3"/>
        <v>-193.6</v>
      </c>
      <c r="D63" s="59">
        <f>COUNTIF($I$6:$I$35,$I63)</f>
        <v>3</v>
      </c>
      <c r="H63" s="6" t="s">
        <v>357</v>
      </c>
      <c r="I63" s="1">
        <v>401</v>
      </c>
      <c r="J63" s="6" t="s">
        <v>358</v>
      </c>
    </row>
    <row r="64" spans="1:10" s="1" customFormat="1" ht="14">
      <c r="B64" s="33">
        <f t="shared" si="2"/>
        <v>0</v>
      </c>
      <c r="C64" s="33">
        <f t="shared" si="3"/>
        <v>0</v>
      </c>
      <c r="D64" s="59">
        <f t="shared" si="4"/>
        <v>0</v>
      </c>
      <c r="H64" s="12" t="s">
        <v>270</v>
      </c>
      <c r="I64" s="1">
        <v>501</v>
      </c>
      <c r="J64" s="1" t="s">
        <v>353</v>
      </c>
    </row>
    <row r="65" spans="2:10" s="1" customFormat="1" ht="14">
      <c r="B65" s="33">
        <f t="shared" si="2"/>
        <v>0</v>
      </c>
      <c r="C65" s="33">
        <f t="shared" si="3"/>
        <v>0</v>
      </c>
      <c r="D65" s="59">
        <f t="shared" si="4"/>
        <v>0</v>
      </c>
      <c r="H65" s="12" t="s">
        <v>453</v>
      </c>
      <c r="I65" s="1">
        <v>502</v>
      </c>
      <c r="J65" s="1" t="s">
        <v>353</v>
      </c>
    </row>
    <row r="66" spans="2:10" s="1" customFormat="1" ht="14">
      <c r="B66" s="33">
        <f t="shared" si="2"/>
        <v>0</v>
      </c>
      <c r="C66" s="33">
        <f t="shared" si="3"/>
        <v>0</v>
      </c>
      <c r="D66" s="59">
        <f t="shared" si="4"/>
        <v>0</v>
      </c>
      <c r="H66" s="12" t="s">
        <v>320</v>
      </c>
      <c r="I66" s="1">
        <v>503</v>
      </c>
      <c r="J66" s="6" t="s">
        <v>332</v>
      </c>
    </row>
    <row r="67" spans="2:10" s="1" customFormat="1" ht="14">
      <c r="B67" s="33">
        <f t="shared" si="2"/>
        <v>0</v>
      </c>
      <c r="C67" s="33">
        <f t="shared" si="3"/>
        <v>0</v>
      </c>
      <c r="D67" s="59">
        <f t="shared" si="4"/>
        <v>0</v>
      </c>
      <c r="H67" s="12" t="s">
        <v>249</v>
      </c>
      <c r="I67" s="1">
        <v>5112</v>
      </c>
      <c r="J67" s="1" t="s">
        <v>353</v>
      </c>
    </row>
    <row r="68" spans="2:10" s="1" customFormat="1" ht="14">
      <c r="B68" s="33">
        <f t="shared" si="2"/>
        <v>0</v>
      </c>
      <c r="C68" s="33">
        <f t="shared" si="3"/>
        <v>0</v>
      </c>
      <c r="D68" s="59">
        <f t="shared" si="4"/>
        <v>0</v>
      </c>
      <c r="H68" s="12" t="s">
        <v>327</v>
      </c>
      <c r="I68" s="1">
        <v>5111</v>
      </c>
      <c r="J68" s="1" t="s">
        <v>353</v>
      </c>
    </row>
    <row r="69" spans="2:10" s="1" customFormat="1" ht="14">
      <c r="B69" s="33">
        <f t="shared" si="2"/>
        <v>0</v>
      </c>
      <c r="C69" s="33">
        <f t="shared" si="3"/>
        <v>0</v>
      </c>
      <c r="D69" s="59">
        <f t="shared" si="4"/>
        <v>0</v>
      </c>
      <c r="H69" s="12" t="s">
        <v>178</v>
      </c>
      <c r="I69" s="1">
        <v>5110</v>
      </c>
      <c r="J69" s="1" t="s">
        <v>353</v>
      </c>
    </row>
    <row r="70" spans="2:10" s="1" customFormat="1" ht="14">
      <c r="B70" s="33">
        <f t="shared" si="2"/>
        <v>0</v>
      </c>
      <c r="C70" s="33">
        <f t="shared" si="3"/>
        <v>0</v>
      </c>
      <c r="D70" s="59">
        <f t="shared" si="4"/>
        <v>0</v>
      </c>
      <c r="H70" s="12" t="s">
        <v>65</v>
      </c>
      <c r="I70" s="1">
        <v>5122</v>
      </c>
      <c r="J70" s="1" t="s">
        <v>353</v>
      </c>
    </row>
    <row r="71" spans="2:10" s="1" customFormat="1" ht="14">
      <c r="B71" s="33">
        <f t="shared" si="2"/>
        <v>0</v>
      </c>
      <c r="C71" s="33">
        <f t="shared" si="3"/>
        <v>0</v>
      </c>
      <c r="D71" s="59">
        <f t="shared" si="4"/>
        <v>0</v>
      </c>
      <c r="H71" s="12" t="s">
        <v>227</v>
      </c>
      <c r="I71" s="1">
        <v>5121</v>
      </c>
      <c r="J71" s="1" t="s">
        <v>353</v>
      </c>
    </row>
    <row r="72" spans="2:10" s="1" customFormat="1" ht="14">
      <c r="B72" s="33">
        <f t="shared" si="2"/>
        <v>0</v>
      </c>
      <c r="C72" s="33">
        <f t="shared" si="3"/>
        <v>0</v>
      </c>
      <c r="D72" s="59">
        <f t="shared" si="4"/>
        <v>0</v>
      </c>
      <c r="H72" s="12" t="s">
        <v>393</v>
      </c>
      <c r="I72" s="1">
        <v>5120</v>
      </c>
      <c r="J72" s="1" t="s">
        <v>353</v>
      </c>
    </row>
    <row r="73" spans="2:10" s="1" customFormat="1" ht="14">
      <c r="B73" s="33">
        <f t="shared" si="2"/>
        <v>0</v>
      </c>
      <c r="C73" s="33">
        <f t="shared" si="3"/>
        <v>0</v>
      </c>
      <c r="D73" s="59">
        <f t="shared" si="4"/>
        <v>0</v>
      </c>
      <c r="H73" s="12" t="s">
        <v>394</v>
      </c>
      <c r="I73" s="1">
        <v>5132</v>
      </c>
      <c r="J73" s="1" t="s">
        <v>353</v>
      </c>
    </row>
    <row r="74" spans="2:10" s="1" customFormat="1" ht="14">
      <c r="B74" s="33">
        <f t="shared" si="2"/>
        <v>0</v>
      </c>
      <c r="C74" s="33">
        <f t="shared" si="3"/>
        <v>0</v>
      </c>
      <c r="D74" s="59">
        <f t="shared" si="4"/>
        <v>0</v>
      </c>
      <c r="H74" s="12" t="s">
        <v>125</v>
      </c>
      <c r="I74" s="1">
        <v>5131</v>
      </c>
      <c r="J74" s="1" t="s">
        <v>353</v>
      </c>
    </row>
    <row r="75" spans="2:10" s="1" customFormat="1" ht="14">
      <c r="B75" s="33">
        <f t="shared" si="2"/>
        <v>0</v>
      </c>
      <c r="C75" s="33">
        <f t="shared" si="3"/>
        <v>0</v>
      </c>
      <c r="D75" s="59">
        <f t="shared" si="4"/>
        <v>0</v>
      </c>
      <c r="H75" s="12" t="s">
        <v>451</v>
      </c>
      <c r="I75" s="1">
        <v>5130</v>
      </c>
      <c r="J75" s="1" t="s">
        <v>353</v>
      </c>
    </row>
    <row r="76" spans="2:10" s="1" customFormat="1" ht="14">
      <c r="B76" s="33">
        <f t="shared" si="2"/>
        <v>0</v>
      </c>
      <c r="C76" s="33">
        <f t="shared" si="3"/>
        <v>0</v>
      </c>
      <c r="D76" s="59">
        <f t="shared" si="4"/>
        <v>0</v>
      </c>
      <c r="H76" s="12" t="s">
        <v>220</v>
      </c>
      <c r="I76" s="1">
        <v>5142</v>
      </c>
      <c r="J76" s="1" t="s">
        <v>353</v>
      </c>
    </row>
    <row r="77" spans="2:10" s="1" customFormat="1" ht="14">
      <c r="B77" s="33">
        <f t="shared" si="2"/>
        <v>0</v>
      </c>
      <c r="C77" s="33">
        <f t="shared" si="3"/>
        <v>0</v>
      </c>
      <c r="D77" s="59">
        <f t="shared" si="4"/>
        <v>0</v>
      </c>
      <c r="H77" s="12" t="s">
        <v>121</v>
      </c>
      <c r="I77" s="1">
        <v>5141</v>
      </c>
      <c r="J77" s="1" t="s">
        <v>353</v>
      </c>
    </row>
    <row r="78" spans="2:10" s="1" customFormat="1" ht="14">
      <c r="B78" s="33">
        <f t="shared" si="2"/>
        <v>0</v>
      </c>
      <c r="C78" s="33">
        <f t="shared" si="3"/>
        <v>0</v>
      </c>
      <c r="D78" s="59">
        <f t="shared" si="4"/>
        <v>0</v>
      </c>
      <c r="H78" s="12" t="s">
        <v>89</v>
      </c>
      <c r="I78" s="1">
        <v>5140</v>
      </c>
      <c r="J78" s="1" t="s">
        <v>353</v>
      </c>
    </row>
    <row r="79" spans="2:10" s="1" customFormat="1" ht="14">
      <c r="B79" s="33">
        <f t="shared" si="2"/>
        <v>0</v>
      </c>
      <c r="C79" s="33">
        <f t="shared" si="3"/>
        <v>0</v>
      </c>
      <c r="D79" s="59">
        <f t="shared" si="4"/>
        <v>0</v>
      </c>
      <c r="H79" s="12" t="s">
        <v>64</v>
      </c>
      <c r="I79" s="1">
        <v>5212</v>
      </c>
      <c r="J79" s="1" t="s">
        <v>353</v>
      </c>
    </row>
    <row r="80" spans="2:10" s="1" customFormat="1" ht="14">
      <c r="B80" s="33">
        <f t="shared" si="2"/>
        <v>0</v>
      </c>
      <c r="C80" s="33">
        <f t="shared" si="3"/>
        <v>0</v>
      </c>
      <c r="D80" s="59">
        <f t="shared" si="4"/>
        <v>0</v>
      </c>
      <c r="H80" s="12" t="s">
        <v>454</v>
      </c>
      <c r="I80" s="1">
        <v>5211</v>
      </c>
      <c r="J80" s="1" t="s">
        <v>353</v>
      </c>
    </row>
    <row r="81" spans="2:10" s="1" customFormat="1" ht="14">
      <c r="B81" s="33">
        <f t="shared" si="2"/>
        <v>0</v>
      </c>
      <c r="C81" s="33">
        <f t="shared" si="3"/>
        <v>0</v>
      </c>
      <c r="D81" s="59">
        <f t="shared" si="4"/>
        <v>0</v>
      </c>
      <c r="H81" s="12" t="s">
        <v>328</v>
      </c>
      <c r="I81" s="1">
        <v>5210</v>
      </c>
      <c r="J81" s="1" t="s">
        <v>353</v>
      </c>
    </row>
    <row r="82" spans="2:10" s="1" customFormat="1" ht="14">
      <c r="B82" s="33">
        <f t="shared" si="2"/>
        <v>0</v>
      </c>
      <c r="C82" s="33">
        <f t="shared" si="3"/>
        <v>0</v>
      </c>
      <c r="D82" s="59">
        <f t="shared" si="4"/>
        <v>0</v>
      </c>
      <c r="H82" s="12" t="s">
        <v>286</v>
      </c>
      <c r="I82" s="1">
        <v>5222</v>
      </c>
      <c r="J82" s="1" t="s">
        <v>353</v>
      </c>
    </row>
    <row r="83" spans="2:10" s="1" customFormat="1" ht="14">
      <c r="B83" s="33">
        <f t="shared" si="2"/>
        <v>0</v>
      </c>
      <c r="C83" s="33">
        <f t="shared" si="3"/>
        <v>0</v>
      </c>
      <c r="D83" s="59">
        <f t="shared" si="4"/>
        <v>0</v>
      </c>
      <c r="H83" s="12" t="s">
        <v>273</v>
      </c>
      <c r="I83" s="1">
        <v>5221</v>
      </c>
      <c r="J83" s="1" t="s">
        <v>353</v>
      </c>
    </row>
    <row r="84" spans="2:10" s="1" customFormat="1" ht="14">
      <c r="B84" s="33">
        <f t="shared" si="2"/>
        <v>0</v>
      </c>
      <c r="C84" s="33">
        <f t="shared" si="3"/>
        <v>0</v>
      </c>
      <c r="D84" s="59">
        <f t="shared" si="4"/>
        <v>0</v>
      </c>
      <c r="H84" s="12" t="s">
        <v>371</v>
      </c>
      <c r="I84" s="1">
        <v>5220</v>
      </c>
      <c r="J84" s="1" t="s">
        <v>353</v>
      </c>
    </row>
    <row r="85" spans="2:10" s="1" customFormat="1" ht="14">
      <c r="B85" s="33">
        <f t="shared" si="2"/>
        <v>0</v>
      </c>
      <c r="C85" s="33">
        <f t="shared" si="3"/>
        <v>0</v>
      </c>
      <c r="D85" s="59">
        <f t="shared" si="4"/>
        <v>0</v>
      </c>
      <c r="H85" s="12" t="s">
        <v>209</v>
      </c>
      <c r="I85" s="1">
        <v>6</v>
      </c>
      <c r="J85" s="1" t="s">
        <v>353</v>
      </c>
    </row>
    <row r="86" spans="2:10" s="1" customFormat="1" ht="14">
      <c r="B86" s="33">
        <f t="shared" si="2"/>
        <v>0</v>
      </c>
      <c r="C86" s="33">
        <f t="shared" si="3"/>
        <v>0</v>
      </c>
      <c r="D86" s="59">
        <f t="shared" si="4"/>
        <v>0</v>
      </c>
      <c r="H86" s="12" t="s">
        <v>188</v>
      </c>
      <c r="I86" s="1">
        <v>6012</v>
      </c>
      <c r="J86" s="1" t="s">
        <v>353</v>
      </c>
    </row>
    <row r="87" spans="2:10" s="1" customFormat="1" ht="14">
      <c r="B87" s="33">
        <f t="shared" si="2"/>
        <v>650</v>
      </c>
      <c r="C87" s="33">
        <f t="shared" si="3"/>
        <v>0</v>
      </c>
      <c r="D87" s="59">
        <f t="shared" si="4"/>
        <v>5</v>
      </c>
      <c r="H87" s="12" t="s">
        <v>243</v>
      </c>
      <c r="I87" s="1">
        <v>6010</v>
      </c>
      <c r="J87" s="1" t="s">
        <v>353</v>
      </c>
    </row>
    <row r="88" spans="2:10" s="1" customFormat="1" ht="14">
      <c r="B88" s="33">
        <f t="shared" si="2"/>
        <v>0</v>
      </c>
      <c r="C88" s="33">
        <f t="shared" si="3"/>
        <v>0</v>
      </c>
      <c r="D88" s="59">
        <f t="shared" si="4"/>
        <v>0</v>
      </c>
      <c r="H88" s="12" t="s">
        <v>377</v>
      </c>
      <c r="I88" s="1">
        <v>6122</v>
      </c>
      <c r="J88" s="1" t="s">
        <v>353</v>
      </c>
    </row>
    <row r="89" spans="2:10" s="1" customFormat="1" ht="14">
      <c r="B89" s="33">
        <f t="shared" si="2"/>
        <v>0</v>
      </c>
      <c r="C89" s="33">
        <f t="shared" si="3"/>
        <v>0</v>
      </c>
      <c r="D89" s="59">
        <f t="shared" si="4"/>
        <v>0</v>
      </c>
      <c r="H89" s="12" t="s">
        <v>518</v>
      </c>
      <c r="I89" s="1">
        <v>6120</v>
      </c>
      <c r="J89" s="1" t="s">
        <v>353</v>
      </c>
    </row>
    <row r="90" spans="2:10" s="1" customFormat="1" ht="14">
      <c r="B90" s="33">
        <f t="shared" si="2"/>
        <v>0</v>
      </c>
      <c r="C90" s="33">
        <f t="shared" si="3"/>
        <v>0</v>
      </c>
      <c r="D90" s="59">
        <f t="shared" si="4"/>
        <v>0</v>
      </c>
      <c r="H90" s="12" t="s">
        <v>289</v>
      </c>
      <c r="I90" s="1">
        <v>6022</v>
      </c>
      <c r="J90" s="1" t="s">
        <v>353</v>
      </c>
    </row>
    <row r="91" spans="2:10" s="1" customFormat="1" ht="14">
      <c r="B91" s="33">
        <f t="shared" ref="B91:B110" si="5">SUMIF($I$6:$I$48,$I91,$B$6:$B$48)</f>
        <v>0</v>
      </c>
      <c r="C91" s="33">
        <f t="shared" ref="C91:C110" si="6">SUMIF($I$6:$I$48,$I91,$C$6:$C$48)</f>
        <v>0</v>
      </c>
      <c r="D91" s="59">
        <f t="shared" si="4"/>
        <v>0</v>
      </c>
      <c r="H91" s="12" t="s">
        <v>274</v>
      </c>
      <c r="I91" s="1">
        <v>6020</v>
      </c>
      <c r="J91" s="1" t="s">
        <v>353</v>
      </c>
    </row>
    <row r="92" spans="2:10" s="1" customFormat="1" ht="14">
      <c r="B92" s="33">
        <f t="shared" si="5"/>
        <v>0</v>
      </c>
      <c r="C92" s="33">
        <f t="shared" si="6"/>
        <v>0</v>
      </c>
      <c r="D92" s="59">
        <f t="shared" si="4"/>
        <v>0</v>
      </c>
      <c r="H92" s="12" t="s">
        <v>8</v>
      </c>
      <c r="I92" s="1">
        <v>6212</v>
      </c>
      <c r="J92" s="1" t="s">
        <v>353</v>
      </c>
    </row>
    <row r="93" spans="2:10" s="1" customFormat="1" ht="14">
      <c r="B93" s="33">
        <f t="shared" si="5"/>
        <v>0</v>
      </c>
      <c r="C93" s="33">
        <f t="shared" si="6"/>
        <v>0</v>
      </c>
      <c r="D93" s="59">
        <f t="shared" si="4"/>
        <v>0</v>
      </c>
      <c r="H93" s="12" t="s">
        <v>100</v>
      </c>
      <c r="I93" s="1">
        <v>6210</v>
      </c>
      <c r="J93" s="1" t="s">
        <v>353</v>
      </c>
    </row>
    <row r="94" spans="2:10" s="1" customFormat="1" ht="14">
      <c r="B94" s="33">
        <f t="shared" si="5"/>
        <v>0</v>
      </c>
      <c r="C94" s="33">
        <f t="shared" si="6"/>
        <v>0</v>
      </c>
      <c r="D94" s="59">
        <f t="shared" si="4"/>
        <v>0</v>
      </c>
      <c r="H94" s="6" t="s">
        <v>526</v>
      </c>
      <c r="I94" s="1">
        <v>7</v>
      </c>
    </row>
    <row r="95" spans="2:10" s="1" customFormat="1" ht="14">
      <c r="B95" s="33">
        <f t="shared" si="5"/>
        <v>0</v>
      </c>
      <c r="C95" s="33">
        <f t="shared" si="6"/>
        <v>0</v>
      </c>
      <c r="D95" s="59">
        <f t="shared" si="4"/>
        <v>0</v>
      </c>
      <c r="H95" s="6" t="s">
        <v>374</v>
      </c>
      <c r="I95" s="1">
        <v>8</v>
      </c>
    </row>
    <row r="96" spans="2:10" s="1" customFormat="1" ht="14">
      <c r="B96" s="33">
        <f t="shared" si="5"/>
        <v>0</v>
      </c>
      <c r="C96" s="33">
        <f t="shared" si="6"/>
        <v>0</v>
      </c>
      <c r="D96" s="59">
        <f t="shared" si="4"/>
        <v>0</v>
      </c>
      <c r="H96" s="6" t="s">
        <v>405</v>
      </c>
      <c r="I96" s="1">
        <v>9</v>
      </c>
    </row>
    <row r="97" spans="2:10" s="1" customFormat="1" ht="14">
      <c r="B97" s="33">
        <f t="shared" si="5"/>
        <v>0</v>
      </c>
      <c r="C97" s="33">
        <f t="shared" si="6"/>
        <v>0</v>
      </c>
      <c r="D97" s="59">
        <f t="shared" si="4"/>
        <v>0</v>
      </c>
      <c r="H97" s="6" t="s">
        <v>433</v>
      </c>
      <c r="I97" s="1">
        <v>10</v>
      </c>
      <c r="J97" s="1" t="s">
        <v>474</v>
      </c>
    </row>
    <row r="98" spans="2:10" s="1" customFormat="1" ht="14">
      <c r="B98" s="33">
        <f t="shared" si="5"/>
        <v>0</v>
      </c>
      <c r="C98" s="33">
        <f t="shared" si="6"/>
        <v>0</v>
      </c>
      <c r="D98" s="59">
        <f t="shared" si="4"/>
        <v>0</v>
      </c>
      <c r="H98" s="6" t="s">
        <v>355</v>
      </c>
      <c r="I98" s="1">
        <v>11</v>
      </c>
      <c r="J98" s="1" t="s">
        <v>474</v>
      </c>
    </row>
    <row r="99" spans="2:10" s="1" customFormat="1" ht="14">
      <c r="B99" s="33">
        <f t="shared" si="5"/>
        <v>0</v>
      </c>
      <c r="C99" s="33">
        <f t="shared" si="6"/>
        <v>0</v>
      </c>
      <c r="D99" s="59">
        <f t="shared" si="4"/>
        <v>0</v>
      </c>
      <c r="H99" s="6" t="s">
        <v>267</v>
      </c>
      <c r="I99" s="1">
        <v>12</v>
      </c>
      <c r="J99" s="1" t="s">
        <v>409</v>
      </c>
    </row>
    <row r="100" spans="2:10" s="1" customFormat="1" ht="14">
      <c r="B100" s="33">
        <f t="shared" si="5"/>
        <v>0</v>
      </c>
      <c r="C100" s="33">
        <f t="shared" si="6"/>
        <v>0</v>
      </c>
      <c r="D100" s="59">
        <f t="shared" si="4"/>
        <v>0</v>
      </c>
      <c r="H100" s="6" t="s">
        <v>196</v>
      </c>
      <c r="I100" s="1">
        <v>13</v>
      </c>
      <c r="J100" s="1" t="s">
        <v>474</v>
      </c>
    </row>
    <row r="101" spans="2:10" s="1" customFormat="1" ht="14">
      <c r="B101" s="33">
        <f t="shared" si="5"/>
        <v>0</v>
      </c>
      <c r="C101" s="33">
        <f t="shared" si="6"/>
        <v>0</v>
      </c>
      <c r="D101" s="59">
        <f t="shared" si="4"/>
        <v>0</v>
      </c>
      <c r="H101" s="6" t="s">
        <v>342</v>
      </c>
      <c r="I101" s="1">
        <v>14</v>
      </c>
      <c r="J101" s="1" t="s">
        <v>474</v>
      </c>
    </row>
    <row r="102" spans="2:10" s="1" customFormat="1" ht="14">
      <c r="B102" s="33">
        <f t="shared" si="5"/>
        <v>0</v>
      </c>
      <c r="C102" s="33">
        <f t="shared" si="6"/>
        <v>0</v>
      </c>
      <c r="D102" s="59">
        <f t="shared" si="4"/>
        <v>0</v>
      </c>
      <c r="H102" s="6" t="s">
        <v>151</v>
      </c>
      <c r="I102" s="1">
        <v>15</v>
      </c>
    </row>
    <row r="103" spans="2:10" s="1" customFormat="1" ht="14">
      <c r="B103" s="33">
        <f t="shared" si="5"/>
        <v>0</v>
      </c>
      <c r="C103" s="33">
        <f t="shared" si="6"/>
        <v>0</v>
      </c>
      <c r="D103" s="59">
        <f t="shared" si="4"/>
        <v>0</v>
      </c>
      <c r="H103" s="6" t="s">
        <v>112</v>
      </c>
      <c r="I103" s="1">
        <v>16</v>
      </c>
      <c r="J103" s="1" t="s">
        <v>112</v>
      </c>
    </row>
    <row r="104" spans="2:10" s="1" customFormat="1" ht="14">
      <c r="B104" s="33">
        <f t="shared" si="5"/>
        <v>0</v>
      </c>
      <c r="C104" s="33">
        <f t="shared" si="6"/>
        <v>0</v>
      </c>
      <c r="D104" s="59">
        <f t="shared" si="4"/>
        <v>0</v>
      </c>
      <c r="H104" s="6" t="s">
        <v>372</v>
      </c>
      <c r="I104" s="1">
        <v>17</v>
      </c>
      <c r="J104" s="1" t="s">
        <v>474</v>
      </c>
    </row>
    <row r="105" spans="2:10" s="1" customFormat="1" ht="14">
      <c r="B105" s="33">
        <f t="shared" si="5"/>
        <v>0</v>
      </c>
      <c r="C105" s="33">
        <f t="shared" si="6"/>
        <v>0</v>
      </c>
      <c r="D105" s="59">
        <f t="shared" si="4"/>
        <v>0</v>
      </c>
      <c r="H105" s="6" t="s">
        <v>338</v>
      </c>
      <c r="I105" s="1">
        <v>18</v>
      </c>
    </row>
    <row r="106" spans="2:10" s="1" customFormat="1" ht="14">
      <c r="B106" s="33">
        <f t="shared" si="5"/>
        <v>0</v>
      </c>
      <c r="C106" s="33">
        <f t="shared" si="6"/>
        <v>0</v>
      </c>
      <c r="D106" s="59">
        <f t="shared" si="4"/>
        <v>0</v>
      </c>
      <c r="H106" s="6" t="s">
        <v>368</v>
      </c>
      <c r="I106" s="1">
        <v>19</v>
      </c>
      <c r="J106" s="1" t="s">
        <v>474</v>
      </c>
    </row>
    <row r="107" spans="2:10" s="1" customFormat="1" ht="14">
      <c r="B107" s="33">
        <f t="shared" si="5"/>
        <v>0</v>
      </c>
      <c r="C107" s="33">
        <f t="shared" si="6"/>
        <v>0</v>
      </c>
      <c r="D107" s="59">
        <f t="shared" si="4"/>
        <v>0</v>
      </c>
      <c r="H107" s="6" t="s">
        <v>450</v>
      </c>
      <c r="I107" s="1">
        <v>20</v>
      </c>
      <c r="J107" s="1" t="s">
        <v>474</v>
      </c>
    </row>
    <row r="108" spans="2:10" s="1" customFormat="1" ht="14">
      <c r="B108" s="33">
        <f t="shared" si="5"/>
        <v>0</v>
      </c>
      <c r="C108" s="33">
        <f t="shared" si="6"/>
        <v>0</v>
      </c>
      <c r="D108" s="59">
        <f t="shared" si="4"/>
        <v>0</v>
      </c>
      <c r="H108" s="6" t="s">
        <v>152</v>
      </c>
      <c r="I108" s="1">
        <v>21</v>
      </c>
    </row>
    <row r="109" spans="2:10" s="1" customFormat="1" ht="14">
      <c r="B109" s="33">
        <f t="shared" si="5"/>
        <v>0</v>
      </c>
      <c r="C109" s="33">
        <f t="shared" si="6"/>
        <v>0</v>
      </c>
      <c r="D109" s="59">
        <f t="shared" si="4"/>
        <v>0</v>
      </c>
      <c r="H109" s="6" t="s">
        <v>248</v>
      </c>
      <c r="I109" s="1">
        <v>22</v>
      </c>
    </row>
    <row r="110" spans="2:10" s="1" customFormat="1" ht="14">
      <c r="B110" s="33">
        <f t="shared" si="5"/>
        <v>0</v>
      </c>
      <c r="C110" s="33">
        <f t="shared" si="6"/>
        <v>0</v>
      </c>
      <c r="D110" s="59">
        <f t="shared" si="4"/>
        <v>0</v>
      </c>
      <c r="H110" s="6" t="s">
        <v>354</v>
      </c>
      <c r="I110" s="1">
        <v>23</v>
      </c>
      <c r="J110" s="1" t="s">
        <v>195</v>
      </c>
    </row>
    <row r="111" spans="2:10" s="1" customFormat="1" ht="14">
      <c r="B111" s="33">
        <f>SUM(B6:B8)</f>
        <v>0</v>
      </c>
      <c r="C111" s="33">
        <f>SUM(C6:C8)</f>
        <v>0</v>
      </c>
      <c r="D111" s="59">
        <f t="shared" si="4"/>
        <v>3</v>
      </c>
      <c r="H111" s="1" t="s">
        <v>122</v>
      </c>
      <c r="I111" s="1">
        <v>90</v>
      </c>
      <c r="J111" s="1" t="s">
        <v>409</v>
      </c>
    </row>
    <row r="125" spans="2:4" s="1" customFormat="1">
      <c r="B125"/>
      <c r="D125" s="2"/>
    </row>
  </sheetData>
  <sheetCalcPr fullCalcOnLoad="1"/>
  <mergeCells count="5">
    <mergeCell ref="A1:I1"/>
    <mergeCell ref="A3:I3"/>
    <mergeCell ref="A4:I4"/>
    <mergeCell ref="A50:I50"/>
    <mergeCell ref="A56:I56"/>
  </mergeCells>
  <phoneticPr fontId="6" type="noConversion"/>
  <conditionalFormatting sqref="B51:C51 B57:C57">
    <cfRule type="expression" dxfId="18" priority="0" stopIfTrue="1">
      <formula>0</formula>
    </cfRule>
  </conditionalFormatting>
  <conditionalFormatting sqref="H55 G52:G54">
    <cfRule type="expression" dxfId="17" priority="0" stopIfTrue="1">
      <formula>0</formula>
    </cfRule>
  </conditionalFormatting>
  <conditionalFormatting sqref="H59:H110 H26 H28 H30 H32 H34">
    <cfRule type="expression" dxfId="16" priority="0" stopIfTrue="1">
      <formula>0</formula>
    </cfRule>
    <cfRule type="expression" dxfId="15" priority="0" stopIfTrue="1">
      <formula>0</formula>
    </cfRule>
  </conditionalFormatting>
  <dataValidations count="7">
    <dataValidation type="list" operator="equal" allowBlank="1" sqref="G6:G47">
      <formula1>$G$52:$G$53</formula1>
    </dataValidation>
    <dataValidation type="list" allowBlank="1" showInputMessage="1" showErrorMessage="1" sqref="H35:H45 H29 H31 H33 H6:H9 H11:H12 H14:H15 H17 H22:H25">
      <formula1>$H$58:$H$109</formula1>
    </dataValidation>
    <dataValidation type="list" allowBlank="1" showInputMessage="1" showErrorMessage="1" sqref="H26 H28 H30 H32 H34">
      <formula1>$H$274:$H$325</formula1>
    </dataValidation>
    <dataValidation type="list" allowBlank="1" showInputMessage="1" showErrorMessage="1" sqref="H27">
      <formula1>$H$287:$H$338</formula1>
    </dataValidation>
    <dataValidation type="list" allowBlank="1" showInputMessage="1" showErrorMessage="1" sqref="H46">
      <formula1>$H$270:$H$322</formula1>
    </dataValidation>
    <dataValidation type="list" allowBlank="1" showInputMessage="1" showErrorMessage="1" sqref="H10 H13 H16">
      <formula1>$H$203:$H$255</formula1>
    </dataValidation>
    <dataValidation type="list" allowBlank="1" showInputMessage="1" showErrorMessage="1" sqref="H18 H20">
      <formula1>$H$184:$H$236</formula1>
    </dataValidation>
  </dataValidations>
  <pageMargins left="0.2" right="0.2" top="0.75" bottom="0.75" header="0.51" footer="0.51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6"/>
  <sheetViews>
    <sheetView topLeftCell="B1" zoomScale="125" zoomScaleSheetLayoutView="100" workbookViewId="0">
      <selection activeCell="D17" sqref="D17"/>
    </sheetView>
  </sheetViews>
  <sheetFormatPr baseColWidth="10" defaultColWidth="7.42578125" defaultRowHeight="14"/>
  <cols>
    <col min="1" max="1" width="5.140625" style="1" customWidth="1"/>
    <col min="2" max="2" width="7.42578125" style="1"/>
    <col min="3" max="3" width="5.7109375" style="1" customWidth="1"/>
    <col min="4" max="6" width="10.7109375" style="1" customWidth="1"/>
    <col min="7" max="16384" width="7.42578125" style="1"/>
  </cols>
  <sheetData>
    <row r="1" spans="1:12" s="14" customFormat="1" ht="39.75" customHeight="1">
      <c r="A1" s="94" t="s">
        <v>266</v>
      </c>
      <c r="B1" s="94"/>
      <c r="C1" s="94"/>
      <c r="D1" s="94"/>
      <c r="E1" s="94"/>
      <c r="F1" s="94"/>
      <c r="G1" s="94"/>
      <c r="H1" s="94"/>
      <c r="I1" s="94"/>
      <c r="J1" s="13"/>
      <c r="K1" s="13"/>
      <c r="L1" s="13"/>
    </row>
    <row r="3" spans="1:12" ht="15">
      <c r="A3" s="15" t="s">
        <v>80</v>
      </c>
      <c r="B3" s="16"/>
      <c r="C3" s="16"/>
      <c r="D3" s="16"/>
      <c r="E3" s="16"/>
      <c r="F3" s="16"/>
    </row>
    <row r="4" spans="1:12">
      <c r="A4" s="27" t="s">
        <v>425</v>
      </c>
      <c r="B4" s="16"/>
      <c r="C4" s="16"/>
      <c r="D4" s="16"/>
      <c r="E4" s="16"/>
      <c r="F4" s="16"/>
    </row>
    <row r="5" spans="1:12">
      <c r="A5" s="30"/>
    </row>
    <row r="6" spans="1:12">
      <c r="A6" s="11" t="s">
        <v>206</v>
      </c>
    </row>
    <row r="7" spans="1:12">
      <c r="B7" s="1" t="s">
        <v>40</v>
      </c>
      <c r="D7" s="33">
        <f>LOOKUP(B7,Journal!$G$177:$G$178,Journal!$D$177:$D$178)</f>
        <v>35461.51</v>
      </c>
      <c r="E7" s="33"/>
      <c r="F7" s="33"/>
    </row>
    <row r="8" spans="1:12">
      <c r="B8" s="1" t="s">
        <v>166</v>
      </c>
      <c r="D8" s="33">
        <f>LOOKUP(B8,Journal!$G$177:$G$178,Journal!$D$177:$D$178)</f>
        <v>659.27000000000135</v>
      </c>
      <c r="E8" s="33"/>
      <c r="F8" s="33"/>
    </row>
    <row r="9" spans="1:12">
      <c r="B9" s="6" t="s">
        <v>225</v>
      </c>
      <c r="D9" s="33">
        <f>LOOKUP(B9,'Journal USD'!G52:G55,'Journal USD'!$D$52:$D$55)*D22</f>
        <v>331.22648699999991</v>
      </c>
      <c r="E9" s="33"/>
      <c r="F9" s="33"/>
    </row>
    <row r="10" spans="1:12">
      <c r="D10" s="33"/>
      <c r="E10" s="35">
        <f>SUM(D7:D9)</f>
        <v>36452.006487000006</v>
      </c>
      <c r="F10" s="33"/>
    </row>
    <row r="11" spans="1:12">
      <c r="B11" s="1" t="s">
        <v>194</v>
      </c>
      <c r="D11" s="33"/>
      <c r="E11" s="33"/>
      <c r="F11" s="35">
        <f>SUM(E10)</f>
        <v>36452.006487000006</v>
      </c>
    </row>
    <row r="12" spans="1:12">
      <c r="D12" s="33"/>
      <c r="E12" s="33"/>
      <c r="F12" s="33"/>
    </row>
    <row r="13" spans="1:12">
      <c r="A13" s="11" t="s">
        <v>228</v>
      </c>
      <c r="D13" s="33"/>
      <c r="E13" s="33"/>
      <c r="F13" s="33"/>
    </row>
    <row r="14" spans="1:12">
      <c r="B14" s="1" t="s">
        <v>160</v>
      </c>
      <c r="D14" s="33">
        <v>0</v>
      </c>
      <c r="E14" s="33"/>
      <c r="F14" s="33"/>
      <c r="G14" s="62">
        <f>F11-F19</f>
        <v>1920.1867564999993</v>
      </c>
    </row>
    <row r="15" spans="1:12">
      <c r="D15" s="33"/>
      <c r="E15" s="35">
        <f>SUM(D14)</f>
        <v>0</v>
      </c>
      <c r="F15" s="33"/>
      <c r="G15" s="61"/>
    </row>
    <row r="16" spans="1:12">
      <c r="B16" s="6" t="s">
        <v>77</v>
      </c>
      <c r="D16" s="33">
        <f>'Income Statement'!E42</f>
        <v>-10753.510269499995</v>
      </c>
      <c r="E16" s="60"/>
      <c r="F16" s="33"/>
    </row>
    <row r="17" spans="1:6">
      <c r="B17" s="6" t="s">
        <v>364</v>
      </c>
      <c r="D17" s="33">
        <f>'Cash Flow'!E6</f>
        <v>45285.33</v>
      </c>
      <c r="E17" s="33"/>
      <c r="F17" s="33"/>
    </row>
    <row r="18" spans="1:6">
      <c r="D18" s="33"/>
      <c r="E18" s="35">
        <f>SUM(D16:D17)</f>
        <v>34531.819730500007</v>
      </c>
      <c r="F18" s="33"/>
    </row>
    <row r="19" spans="1:6">
      <c r="B19" s="6" t="s">
        <v>185</v>
      </c>
      <c r="D19" s="33"/>
      <c r="E19" s="33"/>
      <c r="F19" s="35">
        <f>SUM(E15:E18)</f>
        <v>34531.819730500007</v>
      </c>
    </row>
    <row r="21" spans="1:6">
      <c r="B21" s="6"/>
    </row>
    <row r="22" spans="1:6">
      <c r="A22" s="6" t="s">
        <v>101</v>
      </c>
      <c r="D22" s="14">
        <v>1.13941</v>
      </c>
      <c r="E22" s="83" t="s">
        <v>516</v>
      </c>
    </row>
    <row r="23" spans="1:6">
      <c r="A23" s="6"/>
    </row>
    <row r="25" spans="1:6">
      <c r="A25" s="11" t="s">
        <v>82</v>
      </c>
    </row>
    <row r="26" spans="1:6">
      <c r="A26" s="1">
        <v>1</v>
      </c>
      <c r="B26" s="6" t="s">
        <v>404</v>
      </c>
    </row>
  </sheetData>
  <sheetCalcPr fullCalcOnLoad="1"/>
  <mergeCells count="1">
    <mergeCell ref="A1:I1"/>
  </mergeCells>
  <phoneticPr fontId="6" type="noConversion"/>
  <pageMargins left="0.7" right="0.7" top="0.75" bottom="0.75" header="0.51180555555555551" footer="0.5118055555555555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15"/>
  <sheetViews>
    <sheetView zoomScale="125" zoomScaleSheetLayoutView="100" workbookViewId="0">
      <selection activeCell="D12" sqref="D12"/>
    </sheetView>
  </sheetViews>
  <sheetFormatPr baseColWidth="10" defaultColWidth="7.42578125" defaultRowHeight="14"/>
  <cols>
    <col min="1" max="1" width="4.5703125" style="1" customWidth="1"/>
    <col min="2" max="2" width="27.28515625" style="1" bestFit="1" customWidth="1"/>
    <col min="3" max="3" width="2" style="1" customWidth="1"/>
    <col min="4" max="5" width="10.7109375" style="1" customWidth="1"/>
    <col min="6" max="6" width="8.28515625" style="1" bestFit="1" customWidth="1"/>
    <col min="7" max="16384" width="7.42578125" style="1"/>
  </cols>
  <sheetData>
    <row r="1" spans="1:12" s="18" customFormat="1" ht="41" customHeight="1">
      <c r="A1" s="94" t="s">
        <v>266</v>
      </c>
      <c r="B1" s="94"/>
      <c r="C1" s="94"/>
      <c r="D1" s="94"/>
      <c r="E1" s="94"/>
      <c r="F1" s="94"/>
      <c r="G1" s="94"/>
      <c r="H1" s="94"/>
      <c r="I1" s="94"/>
      <c r="J1" s="17"/>
      <c r="K1" s="17"/>
      <c r="L1" s="17"/>
    </row>
    <row r="3" spans="1:12" ht="15">
      <c r="A3" s="15" t="s">
        <v>146</v>
      </c>
      <c r="B3" s="16"/>
      <c r="C3" s="16"/>
      <c r="D3" s="16"/>
      <c r="E3" s="16"/>
    </row>
    <row r="4" spans="1:12">
      <c r="A4" s="27" t="s">
        <v>389</v>
      </c>
      <c r="B4" s="16"/>
      <c r="C4" s="16"/>
      <c r="D4" s="16"/>
      <c r="E4" s="16"/>
    </row>
    <row r="5" spans="1:12">
      <c r="A5" s="30"/>
    </row>
    <row r="6" spans="1:12">
      <c r="A6" s="11" t="s">
        <v>109</v>
      </c>
      <c r="D6" s="2"/>
      <c r="E6" s="2"/>
    </row>
    <row r="7" spans="1:12">
      <c r="B7" s="6" t="s">
        <v>106</v>
      </c>
      <c r="D7" s="33">
        <f>LOOKUP(B7,Journal!$H$183:$H$236,Journal!$B$183:$B$236)</f>
        <v>0</v>
      </c>
      <c r="E7" s="33"/>
    </row>
    <row r="8" spans="1:12">
      <c r="B8" s="6" t="s">
        <v>78</v>
      </c>
      <c r="D8" s="33">
        <f>LOOKUP(B8,Journal!$H$183:$H$236,Journal!$B$183:$B$236)</f>
        <v>0</v>
      </c>
      <c r="E8" s="33"/>
    </row>
    <row r="9" spans="1:12">
      <c r="B9" s="6" t="s">
        <v>351</v>
      </c>
      <c r="D9" s="33">
        <f>LOOKUP(B9,Journal!$H$183:$H$236,Journal!$B$183:$B$236)</f>
        <v>0</v>
      </c>
      <c r="E9" s="33"/>
    </row>
    <row r="10" spans="1:12">
      <c r="B10" s="6" t="s">
        <v>76</v>
      </c>
      <c r="D10" s="33">
        <f>LOOKUP(B10,Journal!$H$183:$H$236,Journal!$B$183:$B$236)</f>
        <v>436.95000000000005</v>
      </c>
      <c r="E10" s="33"/>
    </row>
    <row r="11" spans="1:12">
      <c r="B11" s="12" t="s">
        <v>180</v>
      </c>
      <c r="D11" s="33">
        <f>SUM(D48:D53)</f>
        <v>14050</v>
      </c>
      <c r="E11" s="33"/>
      <c r="F11" s="74"/>
    </row>
    <row r="12" spans="1:12">
      <c r="B12" s="12" t="s">
        <v>210</v>
      </c>
      <c r="D12" s="33">
        <f>D47+SUM(D54:D58)</f>
        <v>3890.6165000000001</v>
      </c>
      <c r="E12" s="33"/>
    </row>
    <row r="13" spans="1:12">
      <c r="B13" s="12" t="s">
        <v>374</v>
      </c>
      <c r="D13" s="33">
        <f>LOOKUP(B13,Journal!$H$183:$H$236,Journal!$B$183:$B$236)</f>
        <v>0</v>
      </c>
      <c r="E13" s="33"/>
    </row>
    <row r="14" spans="1:12">
      <c r="B14" s="6" t="s">
        <v>405</v>
      </c>
      <c r="D14" s="33">
        <f>LOOKUP(B14,Journal!$H$183:$H$236,Journal!$B$183:$B$236)</f>
        <v>0</v>
      </c>
      <c r="E14" s="33"/>
    </row>
    <row r="15" spans="1:12">
      <c r="B15" s="6" t="s">
        <v>484</v>
      </c>
      <c r="D15" s="33">
        <f>LOOKUP(B15,Journal!$H$183:$H$236,Journal!$B$183:$B$236)</f>
        <v>0</v>
      </c>
      <c r="E15" s="33"/>
    </row>
    <row r="16" spans="1:12">
      <c r="B16" s="6" t="s">
        <v>267</v>
      </c>
      <c r="D16" s="33">
        <f>LOOKUP(B16,Journal!$H$183:$H$236,Journal!$B$183:$B$236)</f>
        <v>0</v>
      </c>
      <c r="E16" s="33"/>
    </row>
    <row r="17" spans="1:7">
      <c r="B17" s="6" t="s">
        <v>112</v>
      </c>
      <c r="D17" s="33">
        <f>LOOKUP(B17,Journal!$H$183:$H$236,Journal!$B$183:$B$236)+(LOOKUP(B17,'Journal USD'!$H$59:$H$111,'Journal USD'!$B$59:$B$111)*'Balance Sheet'!D22)</f>
        <v>3090</v>
      </c>
      <c r="E17" s="33"/>
      <c r="G17" s="6" t="s">
        <v>118</v>
      </c>
    </row>
    <row r="18" spans="1:7">
      <c r="B18" s="6" t="s">
        <v>372</v>
      </c>
      <c r="D18" s="33">
        <f>LOOKUP(B18,Journal!$H$183:$H$236,Journal!$B$183:$B$236)</f>
        <v>0</v>
      </c>
      <c r="E18" s="33"/>
    </row>
    <row r="19" spans="1:7">
      <c r="B19" s="6" t="s">
        <v>338</v>
      </c>
      <c r="D19" s="33">
        <f>LOOKUP(B19,Journal!$H$183:$H$236,Journal!$B$183:$B$236)</f>
        <v>0</v>
      </c>
      <c r="E19" s="33"/>
    </row>
    <row r="20" spans="1:7">
      <c r="B20" s="6" t="s">
        <v>152</v>
      </c>
      <c r="D20" s="33">
        <f>LOOKUP(B20,Journal!$H$183:$H$236,Journal!$B$183:$B$236)</f>
        <v>1100</v>
      </c>
      <c r="E20" s="33"/>
    </row>
    <row r="21" spans="1:7" ht="15">
      <c r="A21"/>
      <c r="B21" s="6" t="s">
        <v>378</v>
      </c>
      <c r="D21" s="33">
        <f>LOOKUP(B21,Journal!$H$183:$H$236,Journal!$B$183:$B$236)</f>
        <v>1305</v>
      </c>
      <c r="E21" s="33"/>
    </row>
    <row r="22" spans="1:7">
      <c r="B22" s="6"/>
      <c r="D22" s="33"/>
      <c r="E22" s="35">
        <f>SUM(D7:D21)</f>
        <v>23872.566500000001</v>
      </c>
    </row>
    <row r="23" spans="1:7">
      <c r="A23" s="11" t="s">
        <v>408</v>
      </c>
      <c r="D23" s="33"/>
      <c r="E23" s="33"/>
    </row>
    <row r="24" spans="1:7">
      <c r="A24" s="11"/>
      <c r="B24" s="6" t="s">
        <v>106</v>
      </c>
      <c r="D24" s="33">
        <f>LOOKUP(B24,Journal!$H$183:$H$236,Journal!$C$183:$C$236)</f>
        <v>0</v>
      </c>
      <c r="E24" s="33"/>
    </row>
    <row r="25" spans="1:7">
      <c r="A25" s="11"/>
      <c r="B25" s="6" t="s">
        <v>204</v>
      </c>
      <c r="D25" s="33">
        <f>LOOKUP(B25,Journal!$H$183:$H$236,Journal!$C$183:$C$236)</f>
        <v>0</v>
      </c>
      <c r="E25" s="33"/>
    </row>
    <row r="26" spans="1:7">
      <c r="B26" s="6" t="s">
        <v>351</v>
      </c>
      <c r="D26" s="33">
        <f>LOOKUP(B26,Journal!$H$183:$H$236,Journal!$C$183:$C$236)+(LOOKUP(B26,'Journal USD'!$H$59:$H$111,'Journal USD'!$C$59:$C$111)*'Balance Sheet'!D22)</f>
        <v>-371.46699350000006</v>
      </c>
      <c r="E26" s="33"/>
    </row>
    <row r="27" spans="1:7">
      <c r="B27" s="6" t="s">
        <v>76</v>
      </c>
      <c r="D27" s="33">
        <f>LOOKUP(B27,Journal!$H$183:$H$236,Journal!$C$183:$C$236)+(LOOKUP(B27,'Journal USD'!$H$59:$H$111,'Journal USD'!$C$59:$C$111)*'Balance Sheet'!D22)</f>
        <v>-220.589776</v>
      </c>
      <c r="E27" s="33"/>
      <c r="G27" s="6" t="s">
        <v>118</v>
      </c>
    </row>
    <row r="28" spans="1:7">
      <c r="B28" s="6" t="s">
        <v>108</v>
      </c>
      <c r="D28" s="33">
        <v>6.63</v>
      </c>
      <c r="E28" s="33"/>
      <c r="G28" s="6" t="s">
        <v>365</v>
      </c>
    </row>
    <row r="29" spans="1:7">
      <c r="B29" s="12" t="s">
        <v>277</v>
      </c>
      <c r="D29" s="33">
        <f>SUM(D62:D75)</f>
        <v>-15096.029999999999</v>
      </c>
      <c r="E29" s="33"/>
    </row>
    <row r="30" spans="1:7">
      <c r="B30" s="12" t="s">
        <v>210</v>
      </c>
      <c r="D30" s="33">
        <f>D61+SUM(D76:D79)</f>
        <v>0</v>
      </c>
      <c r="E30" s="33"/>
    </row>
    <row r="31" spans="1:7">
      <c r="B31" s="6" t="s">
        <v>405</v>
      </c>
      <c r="D31" s="33">
        <f>LOOKUP(B31,Journal!$H$183:$H$236,Journal!$C$183:$C$236)</f>
        <v>0</v>
      </c>
      <c r="E31" s="33"/>
    </row>
    <row r="32" spans="1:7">
      <c r="B32" s="6" t="s">
        <v>433</v>
      </c>
      <c r="D32" s="33">
        <f>LOOKUP(B32,Journal!$H$183:$H$236,Journal!$C$183:$C$236)</f>
        <v>0</v>
      </c>
      <c r="E32" s="33"/>
    </row>
    <row r="33" spans="1:9">
      <c r="B33" s="6" t="s">
        <v>187</v>
      </c>
      <c r="D33" s="33">
        <f>LOOKUP(B33,Journal!$H$183:$H$236,Journal!$C$183:$C$236)</f>
        <v>-4469.33</v>
      </c>
      <c r="E33" s="33"/>
    </row>
    <row r="34" spans="1:9">
      <c r="B34" s="6" t="s">
        <v>112</v>
      </c>
      <c r="D34" s="33">
        <f>LOOKUP(B34,Journal!$H$183:$H$236,Journal!$C$183:$C$236)</f>
        <v>-20</v>
      </c>
      <c r="E34" s="33"/>
    </row>
    <row r="35" spans="1:9">
      <c r="B35" s="6" t="s">
        <v>114</v>
      </c>
      <c r="D35" s="33">
        <f>LOOKUP(B35,Journal!$H$183:$H$236,Journal!$C$183:$C$236)</f>
        <v>0</v>
      </c>
      <c r="E35" s="33"/>
    </row>
    <row r="36" spans="1:9">
      <c r="B36" s="6" t="s">
        <v>152</v>
      </c>
      <c r="D36" s="33">
        <f>LOOKUP(B36,Journal!$H$183:$H$236,Journal!$C$183:$C$236)</f>
        <v>-14455.29</v>
      </c>
      <c r="E36" s="33"/>
    </row>
    <row r="37" spans="1:9">
      <c r="B37" s="6" t="s">
        <v>33</v>
      </c>
      <c r="D37" s="33">
        <f>LOOKUP(B37,Journal!$H$183:$H$236,Journal!$C$183:$C$236)</f>
        <v>0</v>
      </c>
      <c r="E37" s="33"/>
    </row>
    <row r="38" spans="1:9">
      <c r="B38" s="6" t="s">
        <v>235</v>
      </c>
      <c r="D38" s="33">
        <f>LOOKUP(B38,Journal!$H$183:$H$236,Journal!$C$183:$C$236)</f>
        <v>0</v>
      </c>
      <c r="E38" s="33"/>
    </row>
    <row r="39" spans="1:9">
      <c r="B39" s="6" t="s">
        <v>372</v>
      </c>
      <c r="D39" s="33">
        <f>LOOKUP(B39,Journal!$H$183:$H$236,Journal!$C$183:$C$236)</f>
        <v>0</v>
      </c>
      <c r="E39" s="33"/>
    </row>
    <row r="40" spans="1:9">
      <c r="D40" s="33"/>
      <c r="E40" s="35">
        <f>SUM(D24:D39)</f>
        <v>-34626.076769499996</v>
      </c>
    </row>
    <row r="41" spans="1:9">
      <c r="D41" s="33"/>
      <c r="E41" s="33"/>
    </row>
    <row r="42" spans="1:9" ht="15" thickBot="1">
      <c r="A42" s="11" t="s">
        <v>519</v>
      </c>
      <c r="D42" s="33"/>
      <c r="E42" s="32">
        <f>SUM(E22:E40)</f>
        <v>-10753.510269499995</v>
      </c>
      <c r="F42" s="58">
        <f>E81+E115</f>
        <v>-10753.510269499999</v>
      </c>
      <c r="I42" s="6"/>
    </row>
    <row r="44" spans="1:9" ht="15">
      <c r="A44" s="15" t="s">
        <v>325</v>
      </c>
      <c r="B44" s="16"/>
      <c r="C44" s="16"/>
      <c r="D44" s="16"/>
      <c r="E44" s="16"/>
    </row>
    <row r="45" spans="1:9">
      <c r="A45" s="27" t="s">
        <v>379</v>
      </c>
      <c r="B45" s="16"/>
      <c r="C45" s="16"/>
      <c r="D45" s="16"/>
      <c r="E45" s="16"/>
    </row>
    <row r="46" spans="1:9">
      <c r="A46" s="11" t="s">
        <v>109</v>
      </c>
      <c r="D46" s="2"/>
      <c r="E46" s="2"/>
    </row>
    <row r="47" spans="1:9">
      <c r="B47" s="6" t="s">
        <v>106</v>
      </c>
      <c r="D47" s="33">
        <f>LOOKUP(B47,Journal!$H$183:$H$236,Journal!$B$183:$B$236)+LOOKUP(B47,Journal!$H$183:$H$236,Journal!$C$183:$C$236)</f>
        <v>0</v>
      </c>
      <c r="E47" s="33"/>
    </row>
    <row r="48" spans="1:9">
      <c r="B48" s="12" t="s">
        <v>438</v>
      </c>
      <c r="D48" s="33">
        <f>LOOKUP(B48,Journal!$H$183:$H$236,Journal!$B$183:$B$236)+LOOKUP(B48,Journal!$H$183:$H$236,Journal!$C$183:$C$236)</f>
        <v>0</v>
      </c>
      <c r="E48" s="33"/>
    </row>
    <row r="49" spans="1:7">
      <c r="B49" s="12" t="s">
        <v>81</v>
      </c>
      <c r="D49" s="33">
        <f>LOOKUP(B49,Journal!$H$183:$H$236,Journal!$B$183:$B$236)+LOOKUP(B49,Journal!$H$183:$H$236,Journal!$C$183:$C$236)</f>
        <v>11600</v>
      </c>
      <c r="E49" s="33"/>
    </row>
    <row r="50" spans="1:7">
      <c r="B50" s="12" t="s">
        <v>451</v>
      </c>
      <c r="D50" s="33">
        <f>LOOKUP(B50,Journal!$H$183:$H$236,Journal!$B$183:$B$236)+LOOKUP(B50,Journal!$H$183:$H$236,Journal!$C$183:$C$236)</f>
        <v>2450</v>
      </c>
      <c r="E50" s="33"/>
    </row>
    <row r="51" spans="1:7">
      <c r="B51" s="12" t="s">
        <v>387</v>
      </c>
      <c r="D51" s="33">
        <f>LOOKUP(B51,Journal!$H$183:$H$236,Journal!$B$183:$B$236)+LOOKUP(B51,Journal!$H$183:$H$236,Journal!$C$183:$C$236)</f>
        <v>0</v>
      </c>
      <c r="E51" s="33"/>
    </row>
    <row r="52" spans="1:7">
      <c r="B52" s="12" t="s">
        <v>157</v>
      </c>
      <c r="D52" s="33">
        <f>LOOKUP(B52,Journal!$H$183:$H$236,Journal!$B$183:$B$236)+LOOKUP(B52,Journal!$H$183:$H$236,Journal!$C$183:$C$236)</f>
        <v>0</v>
      </c>
      <c r="E52" s="33"/>
    </row>
    <row r="53" spans="1:7">
      <c r="B53" s="12" t="s">
        <v>371</v>
      </c>
      <c r="D53" s="33">
        <f>LOOKUP(B53,Journal!$H$183:$H$236,Journal!$B$183:$B$236)+LOOKUP(B53,Journal!$H$183:$H$236,Journal!$C$183:$C$236)</f>
        <v>0</v>
      </c>
      <c r="E53" s="33"/>
    </row>
    <row r="54" spans="1:7">
      <c r="B54" s="12" t="s">
        <v>271</v>
      </c>
      <c r="D54" s="33">
        <f>LOOKUP(B54,Journal!$H$183:$H$236,Journal!$B$183:$B$236)+LOOKUP(B54,Journal!$H$183:$H$236,Journal!$C$183:$C$236)</f>
        <v>0</v>
      </c>
      <c r="E54" s="33"/>
    </row>
    <row r="55" spans="1:7">
      <c r="B55" s="12" t="s">
        <v>406</v>
      </c>
      <c r="D55" s="33">
        <f>LOOKUP(B55,Journal!$H$183:$H$236,Journal!$B$183:$B$236)+LOOKUP(B55,Journal!$H$183:$H$236,Journal!$C$183:$C$236)+((LOOKUP(B55,'Journal USD'!$H$59:$H$111,'Journal USD'!$B$59:$B$111)+LOOKUP(B55,'Journal USD'!$H$59:$H$111,'Journal USD'!$C$59:$C$111))*'Balance Sheet'!D22)</f>
        <v>3540.6165000000001</v>
      </c>
      <c r="E55" s="33"/>
      <c r="G55" s="6" t="s">
        <v>87</v>
      </c>
    </row>
    <row r="56" spans="1:7">
      <c r="B56" s="12" t="s">
        <v>22</v>
      </c>
      <c r="D56" s="33">
        <f>LOOKUP(B56,Journal!$H$183:$H$236,Journal!$B$183:$B$236)+LOOKUP(B56,Journal!$H$183:$H$236,Journal!$C$183:$C$236)</f>
        <v>0</v>
      </c>
      <c r="E56" s="33"/>
    </row>
    <row r="57" spans="1:7">
      <c r="B57" s="12" t="s">
        <v>115</v>
      </c>
      <c r="D57" s="33">
        <f>LOOKUP(B57,Journal!$H$183:$H$236,Journal!$B$183:$B$236)+LOOKUP(B57,Journal!$H$183:$H$236,Journal!$C$183:$C$236)</f>
        <v>150</v>
      </c>
      <c r="E57" s="33"/>
    </row>
    <row r="58" spans="1:7">
      <c r="B58" s="12" t="s">
        <v>99</v>
      </c>
      <c r="D58" s="33">
        <f>LOOKUP(B58,Journal!$H$183:$H$236,Journal!$B$183:$B$236)+LOOKUP(B58,Journal!$H$183:$H$236,Journal!$C$183:$C$236)</f>
        <v>200</v>
      </c>
      <c r="E58" s="33"/>
    </row>
    <row r="59" spans="1:7">
      <c r="B59" s="6"/>
      <c r="D59" s="33"/>
      <c r="E59" s="35">
        <f>SUM(D47:D58)</f>
        <v>17940.6165</v>
      </c>
    </row>
    <row r="60" spans="1:7">
      <c r="A60" s="11" t="s">
        <v>408</v>
      </c>
      <c r="D60" s="33"/>
      <c r="E60" s="33"/>
    </row>
    <row r="61" spans="1:7">
      <c r="A61" s="11"/>
      <c r="B61" s="6" t="s">
        <v>106</v>
      </c>
      <c r="D61" s="33">
        <f>LOOKUP(B61,Journal!$H$183:$H$236,Journal!$B$183:$B$236)+LOOKUP(B61,Journal!$H$183:$H$236,Journal!$C$183:$C$236)</f>
        <v>0</v>
      </c>
      <c r="E61" s="33"/>
    </row>
    <row r="62" spans="1:7">
      <c r="B62" s="12" t="s">
        <v>72</v>
      </c>
      <c r="D62" s="33">
        <f>LOOKUP(B62,Journal!$H$183:$H$236,Journal!$B$183:$B$236)+LOOKUP(B62,Journal!$H$183:$H$236,Journal!$C$183:$C$236)</f>
        <v>-8097.15</v>
      </c>
      <c r="E62" s="33"/>
    </row>
    <row r="63" spans="1:7">
      <c r="B63" s="12" t="s">
        <v>435</v>
      </c>
      <c r="D63" s="33">
        <f>LOOKUP(B63,Journal!$H$183:$H$236,Journal!$B$183:$B$236)+LOOKUP(B63,Journal!$H$183:$H$236,Journal!$C$183:$C$236)</f>
        <v>0</v>
      </c>
      <c r="E63" s="33"/>
    </row>
    <row r="64" spans="1:7">
      <c r="B64" s="12" t="s">
        <v>462</v>
      </c>
      <c r="D64" s="33">
        <f>LOOKUP(B64,Journal!$H$183:$H$236,Journal!$B$183:$B$236)+LOOKUP(B64,Journal!$H$183:$H$236,Journal!$C$183:$C$236)</f>
        <v>0</v>
      </c>
      <c r="E64" s="33"/>
    </row>
    <row r="65" spans="1:12">
      <c r="B65" s="12" t="s">
        <v>249</v>
      </c>
      <c r="D65" s="33">
        <f>LOOKUP(B65,Journal!$H$183:$H$236,Journal!$B$183:$B$236)+LOOKUP(B65,Journal!$H$183:$H$236,Journal!$C$183:$C$236)</f>
        <v>0</v>
      </c>
      <c r="E65" s="33"/>
    </row>
    <row r="66" spans="1:12">
      <c r="B66" s="12" t="s">
        <v>119</v>
      </c>
      <c r="D66" s="33">
        <f>LOOKUP(B66,Journal!$H$183:$H$236,Journal!$B$183:$B$236)+LOOKUP(B66,Journal!$H$183:$H$236,Journal!$C$183:$C$236)</f>
        <v>-98.88</v>
      </c>
      <c r="E66" s="33"/>
    </row>
    <row r="67" spans="1:12">
      <c r="B67" s="12" t="s">
        <v>9</v>
      </c>
      <c r="D67" s="33">
        <f>LOOKUP(B67,Journal!$H$183:$H$236,Journal!$B$183:$B$236)+LOOKUP(B67,Journal!$H$183:$H$236,Journal!$C$183:$C$236)</f>
        <v>-5800</v>
      </c>
      <c r="E67" s="33"/>
    </row>
    <row r="68" spans="1:12">
      <c r="B68" s="12" t="s">
        <v>125</v>
      </c>
      <c r="D68" s="33">
        <f>LOOKUP(B68,Journal!$H$183:$H$236,Journal!$B$183:$B$236)+LOOKUP(B68,Journal!$H$183:$H$236,Journal!$C$183:$C$236)</f>
        <v>0</v>
      </c>
      <c r="E68" s="33"/>
    </row>
    <row r="69" spans="1:12">
      <c r="B69" s="12" t="s">
        <v>394</v>
      </c>
      <c r="D69" s="33">
        <f>LOOKUP(B69,Journal!$H$183:$H$236,Journal!$B$183:$B$236)+LOOKUP(B69,Journal!$H$183:$H$236,Journal!$C$183:$C$236)</f>
        <v>-1100</v>
      </c>
      <c r="E69" s="33"/>
    </row>
    <row r="70" spans="1:12">
      <c r="A70" s="47"/>
      <c r="B70" s="47" t="s">
        <v>382</v>
      </c>
      <c r="C70" s="47"/>
      <c r="D70" s="33">
        <f>LOOKUP(B70,Journal!$H$183:$H$236,Journal!$B$183:$B$236)+LOOKUP(B70,Journal!$H$183:$H$236,Journal!$C$183:$C$236)</f>
        <v>0</v>
      </c>
      <c r="E70" s="49"/>
      <c r="F70" s="47"/>
      <c r="G70" s="47"/>
      <c r="H70" s="47"/>
      <c r="I70" s="47"/>
      <c r="J70" s="47"/>
      <c r="K70" s="47"/>
      <c r="L70" s="47"/>
    </row>
    <row r="71" spans="1:12">
      <c r="A71" s="47"/>
      <c r="B71" s="47" t="s">
        <v>326</v>
      </c>
      <c r="C71" s="47"/>
      <c r="D71" s="33">
        <f>LOOKUP(B71,Journal!$H$183:$H$236,Journal!$B$183:$B$236)+LOOKUP(B71,Journal!$H$183:$H$236,Journal!$C$183:$C$236)</f>
        <v>0</v>
      </c>
      <c r="E71" s="49"/>
      <c r="F71" s="47"/>
      <c r="G71" s="47"/>
      <c r="H71" s="47"/>
      <c r="I71" s="47"/>
      <c r="J71" s="47"/>
      <c r="K71" s="47"/>
      <c r="L71" s="47"/>
    </row>
    <row r="72" spans="1:12">
      <c r="B72" s="12" t="s">
        <v>454</v>
      </c>
      <c r="D72" s="33">
        <f>LOOKUP(B72,Journal!$H$183:$H$236,Journal!$B$183:$B$236)+LOOKUP(B72,Journal!$H$183:$H$236,Journal!$C$183:$C$236)</f>
        <v>0</v>
      </c>
      <c r="E72" s="33"/>
    </row>
    <row r="73" spans="1:12">
      <c r="B73" s="12" t="s">
        <v>396</v>
      </c>
      <c r="D73" s="33">
        <f>LOOKUP(B73,Journal!$H$183:$H$236,Journal!$B$183:$B$236)+LOOKUP(B73,Journal!$H$183:$H$236,Journal!$C$183:$C$236)</f>
        <v>0</v>
      </c>
      <c r="E73" s="33"/>
    </row>
    <row r="74" spans="1:12">
      <c r="B74" s="12" t="s">
        <v>273</v>
      </c>
      <c r="D74" s="33">
        <f>LOOKUP(B74,Journal!$H$183:$H$236,Journal!$B$183:$B$236)+LOOKUP(B74,Journal!$H$183:$H$236,Journal!$C$183:$C$236)</f>
        <v>0</v>
      </c>
      <c r="E74" s="33"/>
    </row>
    <row r="75" spans="1:12">
      <c r="B75" s="12" t="s">
        <v>234</v>
      </c>
      <c r="D75" s="33">
        <f>LOOKUP(B75,Journal!$H$183:$H$236,Journal!$B$183:$B$236)+LOOKUP(B75,Journal!$H$183:$H$236,Journal!$C$183:$C$236)</f>
        <v>0</v>
      </c>
      <c r="E75" s="33"/>
    </row>
    <row r="76" spans="1:12">
      <c r="B76" s="12" t="s">
        <v>188</v>
      </c>
      <c r="D76" s="33">
        <f>LOOKUP(B76,Journal!$H$183:$H$236,Journal!$B$183:$B$236)+LOOKUP(B76,Journal!$H$183:$H$236,Journal!$C$183:$C$236)</f>
        <v>0</v>
      </c>
      <c r="E76" s="33"/>
    </row>
    <row r="77" spans="1:12">
      <c r="B77" s="12" t="s">
        <v>289</v>
      </c>
      <c r="D77" s="33">
        <f>LOOKUP(B77,Journal!$H$183:$H$236,Journal!$B$183:$B$236)+LOOKUP(B77,Journal!$H$183:$H$236,Journal!$C$183:$C$236)</f>
        <v>0</v>
      </c>
      <c r="E77" s="33"/>
    </row>
    <row r="78" spans="1:12">
      <c r="B78" s="12" t="s">
        <v>24</v>
      </c>
      <c r="D78" s="33">
        <f>LOOKUP(B78,Journal!$H$183:$H$236,Journal!$B$183:$B$236)+LOOKUP(B78,Journal!$H$183:$H$236,Journal!$C$183:$C$236)</f>
        <v>0</v>
      </c>
      <c r="E78" s="33"/>
    </row>
    <row r="79" spans="1:12">
      <c r="B79" s="12" t="s">
        <v>441</v>
      </c>
      <c r="D79" s="33">
        <f>LOOKUP(B79,Journal!$H$183:$H$236,Journal!$B$183:$B$236)+LOOKUP(B79,Journal!$H$183:$H$236,Journal!$C$183:$C$236)</f>
        <v>0</v>
      </c>
      <c r="E79" s="33"/>
    </row>
    <row r="80" spans="1:12">
      <c r="D80" s="33"/>
      <c r="E80" s="35">
        <f>SUM(D61:D79)</f>
        <v>-15096.029999999999</v>
      </c>
    </row>
    <row r="81" spans="1:7" ht="15" thickBot="1">
      <c r="A81" s="11" t="s">
        <v>519</v>
      </c>
      <c r="D81" s="33"/>
      <c r="E81" s="32">
        <f>SUM(E59:E80)</f>
        <v>2844.5865000000013</v>
      </c>
    </row>
    <row r="83" spans="1:7" ht="15">
      <c r="A83" s="15" t="s">
        <v>461</v>
      </c>
      <c r="B83" s="16"/>
      <c r="C83" s="16"/>
      <c r="D83" s="16"/>
      <c r="E83" s="16"/>
    </row>
    <row r="84" spans="1:7">
      <c r="A84" s="27" t="s">
        <v>158</v>
      </c>
      <c r="B84" s="16"/>
      <c r="C84" s="16"/>
      <c r="D84" s="16"/>
      <c r="E84" s="16"/>
    </row>
    <row r="85" spans="1:7">
      <c r="A85" s="6"/>
    </row>
    <row r="86" spans="1:7">
      <c r="A86" s="11" t="s">
        <v>109</v>
      </c>
      <c r="D86" s="2"/>
      <c r="E86" s="2"/>
    </row>
    <row r="87" spans="1:7">
      <c r="B87" s="6" t="s">
        <v>78</v>
      </c>
      <c r="D87" s="33">
        <f>LOOKUP(B87,Journal!$H$183:$H$236,Journal!$B$183:$B$236)</f>
        <v>0</v>
      </c>
      <c r="E87" s="33"/>
    </row>
    <row r="88" spans="1:7">
      <c r="B88" s="6" t="s">
        <v>351</v>
      </c>
      <c r="D88" s="33">
        <f>LOOKUP(B88,Journal!$H$183:$H$236,Journal!$B$183:$B$236)</f>
        <v>0</v>
      </c>
      <c r="E88" s="33"/>
    </row>
    <row r="89" spans="1:7">
      <c r="B89" s="71" t="s">
        <v>76</v>
      </c>
      <c r="C89" s="71"/>
      <c r="D89" s="33">
        <f>LOOKUP(B89,Journal!$H$183:$H$236,Journal!$B$183:$B$236)</f>
        <v>436.95000000000005</v>
      </c>
      <c r="E89" s="33"/>
    </row>
    <row r="90" spans="1:7">
      <c r="B90" s="6" t="s">
        <v>405</v>
      </c>
      <c r="D90" s="33">
        <f>LOOKUP(B90,Journal!$H$183:$H$236,Journal!$B$183:$B$236)</f>
        <v>0</v>
      </c>
      <c r="E90" s="33"/>
    </row>
    <row r="91" spans="1:7">
      <c r="B91" s="6" t="s">
        <v>126</v>
      </c>
      <c r="D91" s="33">
        <f>LOOKUP(B91,Journal!$H$183:$H$236,Journal!$B$183:$B$236)</f>
        <v>0</v>
      </c>
      <c r="E91" s="33"/>
    </row>
    <row r="92" spans="1:7">
      <c r="B92" s="6" t="s">
        <v>267</v>
      </c>
      <c r="D92" s="33">
        <f>LOOKUP(B92,Journal!$H$183:$H$236,Journal!$B$183:$B$236)</f>
        <v>0</v>
      </c>
      <c r="E92" s="33"/>
    </row>
    <row r="93" spans="1:7">
      <c r="B93" s="6" t="s">
        <v>112</v>
      </c>
      <c r="D93" s="33">
        <f>LOOKUP(B93,Journal!$H$183:$H$236,Journal!$B$183:$B$236)+(LOOKUP(B93,'Journal USD'!$H$59:$H$111,'Journal USD'!$B$59:$B$111)*'Balance Sheet'!D22)</f>
        <v>3090</v>
      </c>
      <c r="E93" s="33"/>
      <c r="G93" s="6" t="s">
        <v>118</v>
      </c>
    </row>
    <row r="94" spans="1:7">
      <c r="B94" s="6" t="s">
        <v>372</v>
      </c>
      <c r="D94" s="33">
        <f>LOOKUP(B94,Journal!$H$183:$H$236,Journal!$B$183:$B$236)</f>
        <v>0</v>
      </c>
      <c r="E94" s="33"/>
    </row>
    <row r="95" spans="1:7">
      <c r="B95" s="6" t="s">
        <v>338</v>
      </c>
      <c r="D95" s="33">
        <f>LOOKUP(B95,Journal!$H$183:$H$236,Journal!$B$183:$B$236)</f>
        <v>0</v>
      </c>
      <c r="E95" s="33"/>
    </row>
    <row r="96" spans="1:7">
      <c r="B96" s="6" t="s">
        <v>152</v>
      </c>
      <c r="D96" s="33">
        <f>LOOKUP(B96,Journal!$H$183:$H$236,Journal!$B$183:$B$236)</f>
        <v>1100</v>
      </c>
      <c r="E96" s="33"/>
    </row>
    <row r="97" spans="1:7" ht="15">
      <c r="A97"/>
      <c r="B97" s="6" t="s">
        <v>162</v>
      </c>
      <c r="D97" s="33">
        <f>LOOKUP(B97,Journal!$H$183:$H$236,Journal!$B$183:$B$236)</f>
        <v>1305</v>
      </c>
      <c r="E97" s="33"/>
    </row>
    <row r="98" spans="1:7">
      <c r="B98" s="6"/>
      <c r="D98" s="33"/>
      <c r="E98" s="35">
        <f>SUM(D87:D97)</f>
        <v>5931.95</v>
      </c>
    </row>
    <row r="99" spans="1:7">
      <c r="A99" s="11" t="s">
        <v>408</v>
      </c>
      <c r="D99" s="33"/>
      <c r="E99" s="33"/>
    </row>
    <row r="100" spans="1:7">
      <c r="A100" s="11"/>
      <c r="B100" s="6" t="s">
        <v>204</v>
      </c>
      <c r="D100" s="33">
        <f>LOOKUP(B100,Journal!$H$183:$H$236,Journal!$C$183:$C$236)</f>
        <v>0</v>
      </c>
      <c r="E100" s="33"/>
    </row>
    <row r="101" spans="1:7">
      <c r="B101" s="6" t="s">
        <v>351</v>
      </c>
      <c r="D101" s="33">
        <f>LOOKUP(B101,Journal!$H$183:$H$236,Journal!$B$183:$B$236)+LOOKUP(B101,Journal!$H$183:$H$236,Journal!$C$183:$C$236)+(LOOKUP(B101,'Journal USD'!$H$59:$H$111,'Journal USD'!$B$59:$B$111)+LOOKUP(B101,'Journal USD'!$H$59:$H$111,'Journal USD'!$C$59:$C$111))*'Balance Sheet'!D22</f>
        <v>-371.46699350000006</v>
      </c>
      <c r="E101" s="33"/>
      <c r="G101" s="6" t="s">
        <v>87</v>
      </c>
    </row>
    <row r="102" spans="1:7">
      <c r="B102" s="6" t="s">
        <v>76</v>
      </c>
      <c r="D102" s="33">
        <f>LOOKUP(B102,Journal!$H$183:$H$236,Journal!$C$183:$C$236)+(LOOKUP(B102,'Journal USD'!$H$59:$H$111,'Journal USD'!$C$59:$C$111)*'Balance Sheet'!D22)</f>
        <v>-220.589776</v>
      </c>
      <c r="E102" s="33"/>
      <c r="G102" s="6"/>
    </row>
    <row r="103" spans="1:7">
      <c r="B103" s="6" t="s">
        <v>108</v>
      </c>
      <c r="D103" s="33">
        <v>6.63</v>
      </c>
      <c r="E103" s="33"/>
      <c r="G103" s="6" t="s">
        <v>365</v>
      </c>
    </row>
    <row r="104" spans="1:7">
      <c r="B104" s="6" t="s">
        <v>405</v>
      </c>
      <c r="D104" s="33">
        <f>LOOKUP(B104,Journal!$H$183:$H$236,Journal!$C$183:$C$236)</f>
        <v>0</v>
      </c>
      <c r="E104" s="33"/>
    </row>
    <row r="105" spans="1:7">
      <c r="B105" s="6" t="s">
        <v>433</v>
      </c>
      <c r="D105" s="33">
        <f>LOOKUP(B105,Journal!$H$183:$H$236,Journal!$C$183:$C$236)</f>
        <v>0</v>
      </c>
      <c r="E105" s="33"/>
    </row>
    <row r="106" spans="1:7">
      <c r="B106" s="6" t="s">
        <v>187</v>
      </c>
      <c r="D106" s="33">
        <f>LOOKUP(B106,Journal!$H$183:$H$236,Journal!$C$183:$C$236)</f>
        <v>-4469.33</v>
      </c>
      <c r="E106" s="33"/>
    </row>
    <row r="107" spans="1:7">
      <c r="B107" s="6" t="s">
        <v>112</v>
      </c>
      <c r="D107" s="33">
        <f>LOOKUP(B107,Journal!$H$183:$H$236,Journal!$C$183:$C$236)</f>
        <v>-20</v>
      </c>
      <c r="E107" s="33"/>
    </row>
    <row r="108" spans="1:7">
      <c r="B108" s="6" t="s">
        <v>38</v>
      </c>
      <c r="D108" s="33">
        <f>LOOKUP(B108,Journal!$H$183:$H$236,Journal!$C$183:$C$236)</f>
        <v>0</v>
      </c>
      <c r="E108" s="33"/>
    </row>
    <row r="109" spans="1:7">
      <c r="B109" s="6" t="s">
        <v>152</v>
      </c>
      <c r="D109" s="33">
        <f>LOOKUP(B109,Journal!$H$183:$H$236,Journal!$C$183:$C$236)</f>
        <v>-14455.29</v>
      </c>
      <c r="E109" s="33"/>
    </row>
    <row r="110" spans="1:7">
      <c r="B110" s="6" t="s">
        <v>33</v>
      </c>
      <c r="D110" s="33">
        <f>LOOKUP(B110,Journal!$H$183:$H$236,Journal!$C$183:$C$236)</f>
        <v>0</v>
      </c>
      <c r="E110" s="33"/>
    </row>
    <row r="111" spans="1:7">
      <c r="B111" s="6" t="s">
        <v>276</v>
      </c>
      <c r="D111" s="33">
        <f>LOOKUP(B111,Journal!$H$183:$H$236,Journal!$C$183:$C$236)</f>
        <v>0</v>
      </c>
      <c r="E111" s="33"/>
    </row>
    <row r="112" spans="1:7">
      <c r="B112" s="6" t="s">
        <v>372</v>
      </c>
      <c r="D112" s="33">
        <f>LOOKUP(B112,Journal!$H$183:$H$236,Journal!$C$183:$C$236)</f>
        <v>0</v>
      </c>
      <c r="E112" s="33"/>
    </row>
    <row r="113" spans="1:5">
      <c r="D113" s="33"/>
      <c r="E113" s="35">
        <f>SUM(D100:D112)</f>
        <v>-19530.046769500001</v>
      </c>
    </row>
    <row r="114" spans="1:5">
      <c r="D114" s="33"/>
      <c r="E114" s="33"/>
    </row>
    <row r="115" spans="1:5" ht="15" thickBot="1">
      <c r="A115" s="11" t="s">
        <v>519</v>
      </c>
      <c r="D115" s="33"/>
      <c r="E115" s="32">
        <f>SUM(E98:E113)</f>
        <v>-13598.0967695</v>
      </c>
    </row>
  </sheetData>
  <sheetCalcPr fullCalcOnLoad="1"/>
  <mergeCells count="1">
    <mergeCell ref="A1:I1"/>
  </mergeCells>
  <phoneticPr fontId="6" type="noConversion"/>
  <conditionalFormatting sqref="B47:B60 B7:B20 B22 B24:B39 B101:B114 B63:B69 B72:B80 B88 B90:B99">
    <cfRule type="expression" dxfId="14" priority="0" stopIfTrue="1">
      <formula>0</formula>
    </cfRule>
    <cfRule type="expression" dxfId="13" priority="0" stopIfTrue="1">
      <formula>0</formula>
    </cfRule>
  </conditionalFormatting>
  <conditionalFormatting sqref="F42">
    <cfRule type="cellIs" dxfId="12" priority="0" stopIfTrue="1" operator="equal">
      <formula>$E$42</formula>
    </cfRule>
    <cfRule type="cellIs" dxfId="11" priority="0" stopIfTrue="1" operator="notEqual">
      <formula>$E$42</formula>
    </cfRule>
  </conditionalFormatting>
  <pageMargins left="0.7" right="0.7" top="0.75" bottom="0.75" header="0.51180555555555551" footer="0.5118055555555555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31"/>
  <sheetViews>
    <sheetView zoomScale="125" zoomScaleSheetLayoutView="100" workbookViewId="0">
      <selection activeCell="A5" sqref="A5"/>
    </sheetView>
  </sheetViews>
  <sheetFormatPr baseColWidth="10" defaultColWidth="7.42578125" defaultRowHeight="14"/>
  <cols>
    <col min="1" max="1" width="4.85546875" style="1" customWidth="1"/>
    <col min="2" max="2" width="19.28515625" style="1" customWidth="1"/>
    <col min="3" max="3" width="3" style="1" customWidth="1"/>
    <col min="4" max="5" width="10.7109375" style="1" customWidth="1"/>
    <col min="6" max="16384" width="7.42578125" style="1"/>
  </cols>
  <sheetData>
    <row r="1" spans="1:12" ht="41" customHeight="1">
      <c r="A1" s="94" t="s">
        <v>266</v>
      </c>
      <c r="B1" s="94"/>
      <c r="C1" s="94"/>
      <c r="D1" s="94"/>
      <c r="E1" s="94"/>
      <c r="F1" s="94"/>
      <c r="G1" s="94"/>
      <c r="H1" s="94"/>
      <c r="I1" s="94"/>
      <c r="J1"/>
      <c r="K1"/>
      <c r="L1"/>
    </row>
    <row r="3" spans="1:12" ht="15">
      <c r="A3" s="15" t="s">
        <v>380</v>
      </c>
      <c r="B3" s="16"/>
      <c r="C3" s="16"/>
      <c r="D3" s="16"/>
      <c r="E3" s="16"/>
    </row>
    <row r="4" spans="1:12">
      <c r="A4" s="27" t="s">
        <v>389</v>
      </c>
      <c r="B4" s="16"/>
      <c r="C4" s="16"/>
      <c r="D4" s="16"/>
      <c r="E4" s="16"/>
    </row>
    <row r="5" spans="1:12">
      <c r="A5" s="30"/>
    </row>
    <row r="6" spans="1:12">
      <c r="B6" s="7" t="s">
        <v>236</v>
      </c>
      <c r="D6" s="33"/>
      <c r="E6" s="33">
        <f>Journal!B236+('Journal USD'!B111*D31)</f>
        <v>45285.33</v>
      </c>
      <c r="G6" s="6"/>
    </row>
    <row r="7" spans="1:12">
      <c r="B7" s="7" t="s">
        <v>106</v>
      </c>
      <c r="D7" s="33">
        <f>LOOKUP(B7,Journal!$H$183:$H$236,Journal!$B$183:$B$236)+LOOKUP(B7,Journal!$H$183:$H$236,Journal!$C$183:$C$236)</f>
        <v>0</v>
      </c>
      <c r="E7" s="33"/>
    </row>
    <row r="8" spans="1:12">
      <c r="B8" s="31" t="s">
        <v>204</v>
      </c>
      <c r="D8" s="33">
        <f>LOOKUP(B8,Journal!$H$183:$H$236,Journal!$B$183:$B$236)+LOOKUP(B8,Journal!$H$183:$H$236,Journal!$C$183:$C$236)</f>
        <v>0</v>
      </c>
      <c r="E8" s="33"/>
    </row>
    <row r="9" spans="1:12">
      <c r="B9" s="7" t="s">
        <v>78</v>
      </c>
      <c r="D9" s="33">
        <f>LOOKUP(B9,Journal!$H$183:$H$236,Journal!$B$183:$B$236)+LOOKUP(B9,Journal!$H$183:$H$236,Journal!$C$183:$C$236)</f>
        <v>0</v>
      </c>
      <c r="E9" s="33"/>
    </row>
    <row r="10" spans="1:12">
      <c r="B10" s="6" t="s">
        <v>351</v>
      </c>
      <c r="D10" s="33">
        <f>LOOKUP(B10,Journal!$H$183:$H$236,Journal!$B$183:$B$236)+LOOKUP(B10,Journal!$H$183:$H$236,Journal!$C$183:$C$236)+((LOOKUP(B10,'Journal USD'!$H$59:$H$111,'Journal USD'!$B$59:$B$111)+LOOKUP(B10,'Journal USD'!$H$59:$H$111,'Journal USD'!$C$59:$C$111))*'Balance Sheet'!$D$22)</f>
        <v>-371.46699350000006</v>
      </c>
      <c r="E10" s="33"/>
      <c r="F10" s="6"/>
      <c r="G10" s="6" t="s">
        <v>87</v>
      </c>
    </row>
    <row r="11" spans="1:12">
      <c r="B11" s="6" t="s">
        <v>76</v>
      </c>
      <c r="D11" s="33">
        <f>LOOKUP(B11,Journal!$H$183:$H$236,Journal!$B$183:$B$236)+LOOKUP(B11,Journal!$H$183:$H$236,Journal!$C$183:$C$236)+((LOOKUP(B11,'Journal USD'!$H$59:$H$111,'Journal USD'!$B$59:$B$111)+LOOKUP(B11,'Journal USD'!$H$59:$H$111,'Journal USD'!$C$59:$C$111))*'Balance Sheet'!$D$22)</f>
        <v>50.746980500000063</v>
      </c>
      <c r="E11" s="33"/>
      <c r="F11" s="6"/>
      <c r="G11" s="6" t="s">
        <v>517</v>
      </c>
    </row>
    <row r="12" spans="1:12">
      <c r="B12" s="6" t="s">
        <v>465</v>
      </c>
      <c r="D12" s="33">
        <v>6.63</v>
      </c>
      <c r="E12" s="33"/>
      <c r="F12" s="6"/>
      <c r="G12" s="6" t="s">
        <v>331</v>
      </c>
    </row>
    <row r="13" spans="1:12">
      <c r="B13" s="12" t="s">
        <v>180</v>
      </c>
      <c r="D13" s="33">
        <f>SUM(Journal!B189:C209)</f>
        <v>-1046.0299999999988</v>
      </c>
      <c r="E13" s="33"/>
      <c r="F13" s="6"/>
    </row>
    <row r="14" spans="1:12">
      <c r="B14" s="12" t="s">
        <v>210</v>
      </c>
      <c r="D14" s="33">
        <f>SUM(Journal!B210:C218)+(SUM('Journal USD'!B85:C93)*'Balance Sheet'!$D$22)</f>
        <v>3890.6165000000001</v>
      </c>
      <c r="E14" s="33"/>
      <c r="F14" s="6"/>
      <c r="G14" s="6" t="s">
        <v>87</v>
      </c>
    </row>
    <row r="15" spans="1:12">
      <c r="B15" s="7" t="s">
        <v>405</v>
      </c>
      <c r="D15" s="33">
        <f>LOOKUP(B15,Journal!$H$183:$H$236,Journal!$B$183:$B$236)+LOOKUP(B15,Journal!$H$183:$H$236,Journal!$C$183:$C$236)</f>
        <v>0</v>
      </c>
      <c r="E15" s="33"/>
    </row>
    <row r="16" spans="1:12">
      <c r="B16" s="6" t="s">
        <v>433</v>
      </c>
      <c r="D16" s="33">
        <f>LOOKUP(B16,Journal!$H$183:$H$236,Journal!$B$183:$B$236)+LOOKUP(B16,Journal!$H$183:$H$236,Journal!$C$183:$C$236)</f>
        <v>0</v>
      </c>
      <c r="E16" s="33"/>
    </row>
    <row r="17" spans="1:256">
      <c r="B17" s="7" t="s">
        <v>267</v>
      </c>
      <c r="D17" s="33">
        <f>LOOKUP(B17,Journal!$H$183:$H$236,Journal!$B$183:$B$236)+LOOKUP(B17,Journal!$H$183:$H$236,Journal!$C$183:$C$236)</f>
        <v>0</v>
      </c>
      <c r="E17" s="33"/>
    </row>
    <row r="18" spans="1:256">
      <c r="B18" s="7" t="s">
        <v>329</v>
      </c>
      <c r="D18" s="33">
        <f>LOOKUP(B18,Journal!$H$183:$H$236,Journal!$B$183:$B$236)+LOOKUP(B18,Journal!$H$183:$H$236,Journal!$C$183:$C$236)</f>
        <v>-2376.9</v>
      </c>
      <c r="E18" s="33"/>
    </row>
    <row r="19" spans="1:256">
      <c r="B19" s="7" t="s">
        <v>112</v>
      </c>
      <c r="D19" s="33">
        <f>LOOKUP(B19,Journal!$H$183:$H$236,Journal!$B$183:$B$236)+LOOKUP(B19,Journal!$H$183:$H$236,Journal!$C$183:$C$236)+((LOOKUP(B19,'Journal USD'!$H$59:$H$111,'Journal USD'!$B$59:$B$111)+LOOKUP(B19,'Journal USD'!$H$59:$H$111,'Journal USD'!$C$59:$C$111))*'Balance Sheet'!$D$22)</f>
        <v>3070</v>
      </c>
      <c r="E19" s="33"/>
    </row>
    <row r="20" spans="1:256">
      <c r="B20" s="1" t="s">
        <v>372</v>
      </c>
      <c r="D20" s="33">
        <f>LOOKUP(B20,Journal!$H$183:$H$236,Journal!$B$183:$B$236)+LOOKUP(B20,Journal!$H$183:$H$236,Journal!$C$183:$C$236)</f>
        <v>0</v>
      </c>
      <c r="E20" s="33"/>
    </row>
    <row r="21" spans="1:256">
      <c r="B21" s="7" t="s">
        <v>338</v>
      </c>
      <c r="D21" s="33">
        <f>LOOKUP(B21,Journal!$H$183:$H$236,Journal!$B$183:$B$236)+LOOKUP(B21,Journal!$H$183:$H$236,Journal!$C$183:$C$236)</f>
        <v>0</v>
      </c>
      <c r="E21" s="33"/>
    </row>
    <row r="22" spans="1:256">
      <c r="B22" s="7" t="s">
        <v>444</v>
      </c>
      <c r="D22" s="33">
        <f>LOOKUP(B22,Journal!$H$183:$H$236,Journal!$B$183:$B$236)+LOOKUP(B22,Journal!$H$183:$H$236,Journal!$C$183:$C$236)</f>
        <v>0</v>
      </c>
      <c r="E22" s="33"/>
    </row>
    <row r="23" spans="1:256">
      <c r="B23" s="7" t="s">
        <v>333</v>
      </c>
      <c r="D23" s="33">
        <f>LOOKUP(B23,Journal!$H$183:$H$236,Journal!$B$183:$B$236)+LOOKUP(B23,Journal!$H$183:$H$236,Journal!$C$183:$C$236)</f>
        <v>-13355.29</v>
      </c>
      <c r="E23" s="33"/>
    </row>
    <row r="24" spans="1:256">
      <c r="B24" s="7" t="s">
        <v>33</v>
      </c>
      <c r="D24" s="33">
        <f>LOOKUP(B24,Journal!$H$183:$H$236,Journal!$B$183:$B$236)+LOOKUP(B24,Journal!$H$183:$H$236,Journal!$C$183:$C$236)</f>
        <v>0</v>
      </c>
      <c r="E24" s="33"/>
      <c r="H24" s="73"/>
    </row>
    <row r="25" spans="1:256" ht="15">
      <c r="B25" s="6" t="s">
        <v>27</v>
      </c>
      <c r="D25" s="33">
        <f>LOOKUP(B25,Journal!$H$183:$H$236,Journal!$B$183:$B$236)+LOOKUP(B25,Journal!$H$183:$H$236,Journal!$C$183:$C$236)</f>
        <v>1305</v>
      </c>
      <c r="E25" s="3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>
      <c r="A26"/>
      <c r="B26"/>
      <c r="C26"/>
      <c r="D26" s="33"/>
      <c r="E26" s="33"/>
      <c r="F26"/>
      <c r="G26"/>
      <c r="H26"/>
      <c r="I26"/>
    </row>
    <row r="27" spans="1:256">
      <c r="B27" s="6" t="s">
        <v>255</v>
      </c>
      <c r="D27" s="33"/>
      <c r="E27" s="35">
        <f>SUM(D7:D26)</f>
        <v>-8826.6935130000002</v>
      </c>
      <c r="I27" s="6"/>
    </row>
    <row r="28" spans="1:256" ht="15" thickBot="1">
      <c r="B28" s="6" t="s">
        <v>39</v>
      </c>
      <c r="D28" s="33"/>
      <c r="E28" s="32">
        <f>SUM(E6:E27)</f>
        <v>36458.636487000003</v>
      </c>
      <c r="F28" s="50">
        <f>'Balance Sheet'!F11-'Cash Flow'!E28</f>
        <v>-6.6299999999973807</v>
      </c>
    </row>
    <row r="31" spans="1:256">
      <c r="C31" s="72" t="s">
        <v>101</v>
      </c>
      <c r="D31" s="1">
        <v>1.0480400000000001</v>
      </c>
      <c r="E31" s="6" t="s">
        <v>229</v>
      </c>
    </row>
  </sheetData>
  <sheetCalcPr fullCalcOnLoad="1"/>
  <mergeCells count="1">
    <mergeCell ref="A1:I1"/>
  </mergeCells>
  <phoneticPr fontId="6" type="noConversion"/>
  <conditionalFormatting sqref="B21:B25 B27:B28 B6:B19">
    <cfRule type="expression" dxfId="10" priority="0" stopIfTrue="1">
      <formula>0</formula>
    </cfRule>
    <cfRule type="expression" dxfId="9" priority="0" stopIfTrue="1">
      <formula>0</formula>
    </cfRule>
  </conditionalFormatting>
  <pageMargins left="0.7" right="0.7" top="0.75" bottom="0.75" header="0.51180555555555551" footer="0.5118055555555555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T10"/>
  <sheetViews>
    <sheetView zoomScale="125" workbookViewId="0">
      <selection activeCell="A5" sqref="A5"/>
    </sheetView>
  </sheetViews>
  <sheetFormatPr baseColWidth="10" defaultRowHeight="14"/>
  <cols>
    <col min="1" max="16384" width="10.7109375" style="28"/>
  </cols>
  <sheetData>
    <row r="1" spans="1:254" customFormat="1" ht="41" customHeight="1">
      <c r="A1" s="95" t="s">
        <v>153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customFormat="1" ht="15"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customFormat="1" ht="15">
      <c r="A3" s="103" t="s">
        <v>440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254" customFormat="1" ht="15">
      <c r="A4" s="99" t="s">
        <v>390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254" customFormat="1" ht="12.75" customHeight="1">
      <c r="A5" s="45" t="s">
        <v>205</v>
      </c>
      <c r="B5" s="4" t="s">
        <v>61</v>
      </c>
      <c r="C5" s="45" t="s">
        <v>140</v>
      </c>
      <c r="D5" s="4" t="s">
        <v>403</v>
      </c>
      <c r="E5" s="45" t="s">
        <v>434</v>
      </c>
      <c r="F5" s="45" t="s">
        <v>57</v>
      </c>
      <c r="G5" s="45" t="s">
        <v>376</v>
      </c>
      <c r="H5" s="45" t="s">
        <v>312</v>
      </c>
      <c r="I5" s="45" t="s">
        <v>313</v>
      </c>
      <c r="J5" s="45" t="s">
        <v>55</v>
      </c>
      <c r="K5" s="45" t="s">
        <v>56</v>
      </c>
      <c r="L5" s="6" t="s">
        <v>452</v>
      </c>
      <c r="M5" s="6" t="s">
        <v>74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15">
      <c r="A6" s="28" t="s">
        <v>175</v>
      </c>
      <c r="B6" s="28" t="s">
        <v>483</v>
      </c>
      <c r="C6" s="28" t="s">
        <v>375</v>
      </c>
      <c r="D6"/>
      <c r="E6"/>
      <c r="F6"/>
      <c r="G6"/>
      <c r="H6"/>
      <c r="I6"/>
      <c r="J6"/>
      <c r="K6"/>
      <c r="L6" s="28" t="s">
        <v>75</v>
      </c>
      <c r="M6" s="28" t="s">
        <v>282</v>
      </c>
    </row>
    <row r="7" spans="1:254">
      <c r="A7" s="30" t="s">
        <v>36</v>
      </c>
      <c r="B7" s="28" t="s">
        <v>343</v>
      </c>
      <c r="D7" s="46">
        <v>41311</v>
      </c>
      <c r="E7" s="28">
        <v>150</v>
      </c>
      <c r="G7" s="28">
        <v>0</v>
      </c>
      <c r="H7" s="28">
        <v>20</v>
      </c>
      <c r="I7" s="28">
        <v>0</v>
      </c>
      <c r="J7" s="28">
        <v>0</v>
      </c>
      <c r="K7" s="28">
        <f>E7-SUM(G7:J7)</f>
        <v>130</v>
      </c>
      <c r="L7" s="28" t="s">
        <v>283</v>
      </c>
    </row>
    <row r="8" spans="1:254" ht="15">
      <c r="A8"/>
      <c r="B8"/>
      <c r="C8"/>
      <c r="D8"/>
      <c r="E8"/>
      <c r="F8"/>
    </row>
    <row r="9" spans="1:254" ht="15">
      <c r="A9"/>
      <c r="B9"/>
      <c r="C9"/>
      <c r="D9"/>
      <c r="E9"/>
      <c r="F9"/>
    </row>
    <row r="10" spans="1:254" ht="15">
      <c r="A10"/>
      <c r="B10"/>
      <c r="C10"/>
      <c r="D10"/>
      <c r="E10"/>
      <c r="F10"/>
    </row>
  </sheetData>
  <sheetCalcPr fullCalcOnLoad="1"/>
  <mergeCells count="3">
    <mergeCell ref="A4:K4"/>
    <mergeCell ref="A3:K3"/>
    <mergeCell ref="A1:K1"/>
  </mergeCells>
  <phoneticPr fontId="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0"/>
  <sheetViews>
    <sheetView zoomScale="125" workbookViewId="0">
      <selection activeCell="A5" sqref="A5"/>
    </sheetView>
  </sheetViews>
  <sheetFormatPr baseColWidth="10" defaultRowHeight="15"/>
  <cols>
    <col min="3" max="3" width="13.85546875" customWidth="1"/>
  </cols>
  <sheetData>
    <row r="1" spans="1:10" ht="36" customHeight="1">
      <c r="A1" s="94" t="s">
        <v>266</v>
      </c>
      <c r="B1" s="94"/>
      <c r="C1" s="94"/>
      <c r="D1" s="94"/>
      <c r="E1" s="94"/>
      <c r="F1" s="94"/>
      <c r="G1" s="94"/>
      <c r="H1" s="94"/>
      <c r="I1" s="94"/>
      <c r="J1" s="70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5" t="s">
        <v>261</v>
      </c>
      <c r="B3" s="16"/>
      <c r="C3" s="16"/>
      <c r="D3" s="16"/>
      <c r="E3" s="16"/>
      <c r="F3" s="1"/>
      <c r="G3" s="105" t="s">
        <v>436</v>
      </c>
      <c r="H3" s="105"/>
      <c r="I3" s="1"/>
      <c r="J3" s="1"/>
    </row>
    <row r="4" spans="1:10">
      <c r="A4" s="27" t="s">
        <v>389</v>
      </c>
      <c r="B4" s="16"/>
      <c r="C4" s="16"/>
      <c r="D4" s="16"/>
      <c r="E4" s="16"/>
      <c r="F4" s="1"/>
      <c r="G4" s="105"/>
      <c r="H4" s="105"/>
      <c r="I4" s="1"/>
      <c r="J4" s="1"/>
    </row>
    <row r="5" spans="1:10">
      <c r="B5" s="1"/>
      <c r="C5" s="1"/>
      <c r="D5" s="1"/>
      <c r="E5" s="1"/>
      <c r="F5" s="1"/>
      <c r="G5" s="1"/>
      <c r="H5" s="1"/>
      <c r="I5" s="1"/>
      <c r="J5" s="1"/>
    </row>
    <row r="6" spans="1:10">
      <c r="A6" s="11" t="s">
        <v>272</v>
      </c>
      <c r="B6" s="11" t="s">
        <v>471</v>
      </c>
      <c r="C6" s="11" t="s">
        <v>472</v>
      </c>
      <c r="D6" s="51"/>
      <c r="E6" s="11" t="s">
        <v>362</v>
      </c>
      <c r="F6" s="11" t="s">
        <v>485</v>
      </c>
      <c r="G6" s="11" t="s">
        <v>388</v>
      </c>
      <c r="H6" s="11" t="s">
        <v>34</v>
      </c>
      <c r="I6" s="11" t="s">
        <v>35</v>
      </c>
      <c r="J6" s="6" t="s">
        <v>140</v>
      </c>
    </row>
    <row r="7" spans="1:10">
      <c r="B7" s="6" t="s">
        <v>471</v>
      </c>
      <c r="C7" s="6" t="s">
        <v>360</v>
      </c>
      <c r="D7" s="33" t="s">
        <v>361</v>
      </c>
      <c r="E7" s="33"/>
      <c r="F7" s="1"/>
      <c r="G7" s="1"/>
      <c r="H7" s="1"/>
      <c r="I7" s="1"/>
      <c r="J7" s="1"/>
    </row>
    <row r="8" spans="1:10">
      <c r="A8" s="11" t="s">
        <v>181</v>
      </c>
      <c r="B8" s="52">
        <f>SUM(Journal!$B194:$C194)</f>
        <v>0</v>
      </c>
      <c r="C8" s="52">
        <f>SUM(Journal!$B193:$C193)</f>
        <v>0</v>
      </c>
      <c r="D8" s="52">
        <f>SUM(Journal!$B192:$C192)</f>
        <v>0</v>
      </c>
      <c r="E8" s="33">
        <f t="shared" ref="E8:E13" si="0">SUM(B8:D8)</f>
        <v>0</v>
      </c>
      <c r="F8" s="53" t="str">
        <f>IF(B8=0,"N/A",E8*100/B8)</f>
        <v>N/A</v>
      </c>
      <c r="G8" s="54">
        <v>0</v>
      </c>
      <c r="H8" s="54">
        <v>0</v>
      </c>
      <c r="I8" s="54">
        <v>0</v>
      </c>
      <c r="J8" s="6"/>
    </row>
    <row r="9" spans="1:10">
      <c r="A9" s="11" t="s">
        <v>84</v>
      </c>
      <c r="B9" s="52">
        <f>SUM(Journal!$B197:$C197)</f>
        <v>11600</v>
      </c>
      <c r="C9" s="52">
        <f>SUM(Journal!$B196:$C196)</f>
        <v>-98.88</v>
      </c>
      <c r="D9" s="52">
        <f>SUM(Journal!$B195:$C195)</f>
        <v>-5800</v>
      </c>
      <c r="E9" s="33">
        <f t="shared" si="0"/>
        <v>5701.1200000000008</v>
      </c>
      <c r="F9" s="53">
        <f t="shared" ref="F9:F19" si="1">IF(B9=0,"N/A",E9*100/B9)</f>
        <v>49.147586206896563</v>
      </c>
      <c r="G9" s="54">
        <v>0</v>
      </c>
      <c r="H9" s="54">
        <v>0</v>
      </c>
      <c r="I9" s="54">
        <v>0</v>
      </c>
      <c r="J9" s="6" t="s">
        <v>370</v>
      </c>
    </row>
    <row r="10" spans="1:10">
      <c r="A10" s="11" t="s">
        <v>182</v>
      </c>
      <c r="B10" s="52">
        <f>SUM(Journal!$B200:$C200)</f>
        <v>2450</v>
      </c>
      <c r="C10" s="52">
        <f>SUM(Journal!$B199:$C199)</f>
        <v>0</v>
      </c>
      <c r="D10" s="52">
        <f>SUM(Journal!$B198:$C198)</f>
        <v>-1100</v>
      </c>
      <c r="E10" s="33">
        <f t="shared" si="0"/>
        <v>1350</v>
      </c>
      <c r="F10" s="53">
        <f t="shared" si="1"/>
        <v>55.102040816326529</v>
      </c>
      <c r="G10" s="54">
        <v>0</v>
      </c>
      <c r="H10" s="54">
        <v>0</v>
      </c>
      <c r="I10" s="54">
        <v>0</v>
      </c>
      <c r="J10" s="1"/>
    </row>
    <row r="11" spans="1:10">
      <c r="A11" s="11" t="s">
        <v>32</v>
      </c>
      <c r="B11" s="52">
        <f>SUM(Journal!$B203:$C203)</f>
        <v>0</v>
      </c>
      <c r="C11" s="52">
        <f>SUM(Journal!$B202:$C202)</f>
        <v>0</v>
      </c>
      <c r="D11" s="52">
        <f>SUM(Journal!$B201:$C201)</f>
        <v>0</v>
      </c>
      <c r="E11" s="33">
        <f t="shared" si="0"/>
        <v>0</v>
      </c>
      <c r="F11" s="53" t="str">
        <f t="shared" si="1"/>
        <v>N/A</v>
      </c>
      <c r="G11" s="54">
        <v>0</v>
      </c>
      <c r="H11" s="54">
        <v>0</v>
      </c>
      <c r="I11" s="54">
        <v>0</v>
      </c>
      <c r="J11" s="6"/>
    </row>
    <row r="12" spans="1:10">
      <c r="A12" s="11" t="s">
        <v>143</v>
      </c>
      <c r="B12" s="52">
        <f>SUM(Journal!$B206:$C206)</f>
        <v>0</v>
      </c>
      <c r="C12" s="52">
        <f>SUM(Journal!$B205:$C205)</f>
        <v>0</v>
      </c>
      <c r="D12" s="52">
        <f>SUM(Journal!$B204:$C204)</f>
        <v>0</v>
      </c>
      <c r="E12" s="33">
        <f t="shared" si="0"/>
        <v>0</v>
      </c>
      <c r="F12" s="53" t="str">
        <f t="shared" si="1"/>
        <v>N/A</v>
      </c>
      <c r="G12" s="54">
        <v>0</v>
      </c>
      <c r="H12" s="54">
        <v>0</v>
      </c>
      <c r="I12" s="54">
        <v>0</v>
      </c>
      <c r="J12" s="1"/>
    </row>
    <row r="13" spans="1:10">
      <c r="A13" s="11" t="s">
        <v>144</v>
      </c>
      <c r="B13" s="52">
        <f>SUM(Journal!$B209:$C209)</f>
        <v>0</v>
      </c>
      <c r="C13" s="52">
        <f>SUM(Journal!$B208:$C208)</f>
        <v>0</v>
      </c>
      <c r="D13" s="52">
        <f>SUM(Journal!$B207:$C207)</f>
        <v>0</v>
      </c>
      <c r="E13" s="33">
        <f t="shared" si="0"/>
        <v>0</v>
      </c>
      <c r="F13" s="53" t="str">
        <f t="shared" si="1"/>
        <v>N/A</v>
      </c>
      <c r="G13" s="54">
        <v>0</v>
      </c>
      <c r="H13" s="54">
        <v>0</v>
      </c>
      <c r="I13" s="54">
        <v>0</v>
      </c>
      <c r="J13" s="1"/>
    </row>
    <row r="14" spans="1:10">
      <c r="A14" s="11"/>
      <c r="B14" s="52"/>
      <c r="C14" s="1"/>
      <c r="D14" s="33"/>
      <c r="E14" s="33"/>
      <c r="F14" s="53"/>
      <c r="G14" s="54"/>
      <c r="H14" s="54"/>
      <c r="I14" s="54"/>
      <c r="J14" s="1"/>
    </row>
    <row r="15" spans="1:10">
      <c r="A15" s="11"/>
      <c r="B15" s="52"/>
      <c r="C15" s="1"/>
      <c r="D15" s="33"/>
      <c r="E15" s="33"/>
      <c r="F15" s="53"/>
      <c r="G15" s="54"/>
      <c r="H15" s="54"/>
      <c r="I15" s="54"/>
      <c r="J15" s="1"/>
    </row>
    <row r="16" spans="1:10">
      <c r="A16" s="11" t="s">
        <v>343</v>
      </c>
      <c r="B16" s="52">
        <f>SUM(Journal!$B212:$C212)</f>
        <v>2800</v>
      </c>
      <c r="C16" s="1"/>
      <c r="D16" s="52">
        <f>SUM(Journal!$B211:$C211)</f>
        <v>0</v>
      </c>
      <c r="E16" s="33">
        <f>SUM(B16:D16)</f>
        <v>2800</v>
      </c>
      <c r="F16" s="53">
        <f t="shared" si="1"/>
        <v>100</v>
      </c>
      <c r="G16" s="54">
        <v>1</v>
      </c>
      <c r="H16" s="55" t="s">
        <v>145</v>
      </c>
      <c r="I16" s="54">
        <v>0</v>
      </c>
      <c r="J16" s="6"/>
    </row>
    <row r="17" spans="1:10">
      <c r="A17" s="11" t="s">
        <v>383</v>
      </c>
      <c r="B17" s="52">
        <f>SUM(Journal!$B216:$C216)</f>
        <v>0</v>
      </c>
      <c r="C17" s="1"/>
      <c r="D17" s="52">
        <f>SUM(Journal!$B215:$C215)</f>
        <v>0</v>
      </c>
      <c r="E17" s="33">
        <f>SUM(B17:D17)</f>
        <v>0</v>
      </c>
      <c r="F17" s="53" t="str">
        <f t="shared" si="1"/>
        <v>N/A</v>
      </c>
      <c r="G17" s="54">
        <v>0</v>
      </c>
      <c r="H17" s="55" t="s">
        <v>145</v>
      </c>
      <c r="I17" s="54">
        <v>0</v>
      </c>
      <c r="J17" s="1"/>
    </row>
    <row r="18" spans="1:10">
      <c r="A18" s="11" t="s">
        <v>321</v>
      </c>
      <c r="B18" s="52">
        <f>SUM(Journal!$B214:$C214)</f>
        <v>150</v>
      </c>
      <c r="C18" s="1"/>
      <c r="D18" s="52">
        <f>SUM(Journal!$B213:$C213)</f>
        <v>0</v>
      </c>
      <c r="E18" s="33">
        <f>SUM(B18:D18)</f>
        <v>150</v>
      </c>
      <c r="F18" s="53">
        <f t="shared" si="1"/>
        <v>100</v>
      </c>
      <c r="G18" s="54">
        <v>0</v>
      </c>
      <c r="H18" s="55" t="s">
        <v>145</v>
      </c>
      <c r="I18" s="54">
        <v>0</v>
      </c>
      <c r="J18" s="6"/>
    </row>
    <row r="19" spans="1:10">
      <c r="A19" s="11" t="s">
        <v>410</v>
      </c>
      <c r="B19" s="52">
        <f>SUM(Journal!$B218:$C218)</f>
        <v>200</v>
      </c>
      <c r="C19" s="1"/>
      <c r="D19" s="52">
        <f>SUM(Journal!$B217:$C217)</f>
        <v>0</v>
      </c>
      <c r="E19" s="33">
        <f>SUM(B19:D19)</f>
        <v>200</v>
      </c>
      <c r="F19" s="53">
        <f t="shared" si="1"/>
        <v>100</v>
      </c>
      <c r="G19" s="54">
        <v>0</v>
      </c>
      <c r="H19" s="55" t="s">
        <v>23</v>
      </c>
      <c r="I19" s="54">
        <v>0</v>
      </c>
      <c r="J19" s="1"/>
    </row>
    <row r="20" spans="1:10">
      <c r="A20" s="1"/>
      <c r="B20" s="6"/>
      <c r="C20" s="1"/>
      <c r="D20" s="33"/>
      <c r="E20" s="35">
        <f>SUM(E16:E19)</f>
        <v>3150</v>
      </c>
      <c r="F20" s="1"/>
      <c r="G20" s="1"/>
      <c r="H20" s="1"/>
      <c r="I20" s="1"/>
      <c r="J20" s="1"/>
    </row>
  </sheetData>
  <sheetCalcPr fullCalcOnLoad="1"/>
  <mergeCells count="2">
    <mergeCell ref="G3:H4"/>
    <mergeCell ref="A1:I1"/>
  </mergeCells>
  <phoneticPr fontId="6" type="noConversion"/>
  <conditionalFormatting sqref="C8:D13 B7:B20 D16:D19">
    <cfRule type="expression" dxfId="8" priority="0" stopIfTrue="1">
      <formula>0</formula>
    </cfRule>
    <cfRule type="expression" dxfId="7" priority="0" stopIfTrue="1">
      <formula>0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L33"/>
  <sheetViews>
    <sheetView zoomScale="125" zoomScaleSheetLayoutView="100" workbookViewId="0">
      <selection activeCell="A4" sqref="A4"/>
    </sheetView>
  </sheetViews>
  <sheetFormatPr baseColWidth="10" defaultColWidth="7.42578125" defaultRowHeight="14"/>
  <cols>
    <col min="1" max="1" width="4.5703125" style="1" customWidth="1"/>
    <col min="2" max="2" width="13.7109375" style="1" bestFit="1" customWidth="1"/>
    <col min="3" max="3" width="2" style="1" customWidth="1"/>
    <col min="4" max="4" width="10.7109375" style="1" customWidth="1"/>
    <col min="5" max="5" width="10.5703125" style="1" customWidth="1"/>
    <col min="6" max="6" width="3.42578125" style="1" customWidth="1"/>
    <col min="7" max="16384" width="7.42578125" style="1"/>
  </cols>
  <sheetData>
    <row r="1" spans="1:12" s="18" customFormat="1" ht="41" customHeight="1">
      <c r="A1" s="94" t="s">
        <v>266</v>
      </c>
      <c r="B1" s="94"/>
      <c r="C1" s="94"/>
      <c r="D1" s="94"/>
      <c r="E1" s="94"/>
      <c r="F1" s="94"/>
      <c r="G1" s="94"/>
      <c r="H1" s="94"/>
      <c r="I1" s="94"/>
      <c r="J1" s="17"/>
      <c r="K1" s="17"/>
      <c r="L1" s="17"/>
    </row>
    <row r="3" spans="1:12" ht="15">
      <c r="A3" s="15" t="s">
        <v>392</v>
      </c>
      <c r="B3" s="16"/>
      <c r="C3" s="16"/>
      <c r="D3" s="16"/>
      <c r="E3" s="16"/>
    </row>
    <row r="4" spans="1:12">
      <c r="A4" s="27" t="s">
        <v>391</v>
      </c>
      <c r="B4" s="16"/>
      <c r="C4" s="16"/>
      <c r="D4" s="16"/>
      <c r="E4" s="16"/>
    </row>
    <row r="5" spans="1:12">
      <c r="A5" s="30"/>
    </row>
    <row r="6" spans="1:12">
      <c r="A6" s="11" t="s">
        <v>109</v>
      </c>
      <c r="D6" s="2"/>
      <c r="E6" s="2"/>
    </row>
    <row r="7" spans="1:12">
      <c r="B7" s="6" t="s">
        <v>106</v>
      </c>
      <c r="D7" s="19">
        <v>0</v>
      </c>
      <c r="E7" s="19"/>
      <c r="G7" s="1" t="s">
        <v>107</v>
      </c>
    </row>
    <row r="8" spans="1:12">
      <c r="A8" s="6"/>
      <c r="B8" s="6" t="s">
        <v>486</v>
      </c>
      <c r="D8" s="19">
        <v>0</v>
      </c>
      <c r="E8" s="19"/>
      <c r="G8" s="6" t="s">
        <v>159</v>
      </c>
    </row>
    <row r="9" spans="1:12">
      <c r="B9" s="12" t="s">
        <v>70</v>
      </c>
      <c r="D9" s="19">
        <v>5550</v>
      </c>
      <c r="E9" s="19"/>
      <c r="G9" s="1" t="s">
        <v>281</v>
      </c>
      <c r="H9" s="6" t="s">
        <v>466</v>
      </c>
    </row>
    <row r="10" spans="1:12">
      <c r="B10" s="12" t="s">
        <v>210</v>
      </c>
      <c r="D10" s="19">
        <v>8000</v>
      </c>
      <c r="E10" s="19"/>
      <c r="G10" s="6" t="s">
        <v>173</v>
      </c>
    </row>
    <row r="11" spans="1:12">
      <c r="B11" s="6" t="s">
        <v>405</v>
      </c>
      <c r="D11" s="19">
        <v>20000</v>
      </c>
      <c r="E11" s="19"/>
      <c r="G11" s="6" t="s">
        <v>219</v>
      </c>
    </row>
    <row r="12" spans="1:12">
      <c r="B12" s="6" t="s">
        <v>267</v>
      </c>
      <c r="D12" s="19">
        <v>1</v>
      </c>
      <c r="E12" s="19"/>
    </row>
    <row r="13" spans="1:12">
      <c r="B13" s="6" t="s">
        <v>112</v>
      </c>
      <c r="D13" s="19">
        <v>7000</v>
      </c>
      <c r="E13" s="19"/>
      <c r="G13" s="6" t="s">
        <v>278</v>
      </c>
    </row>
    <row r="14" spans="1:12">
      <c r="B14" s="6" t="s">
        <v>71</v>
      </c>
      <c r="D14" s="19">
        <v>0</v>
      </c>
      <c r="E14" s="19"/>
      <c r="G14" s="6"/>
    </row>
    <row r="15" spans="1:12">
      <c r="B15" s="6" t="s">
        <v>139</v>
      </c>
      <c r="D15" s="19">
        <v>0</v>
      </c>
      <c r="E15" s="19"/>
      <c r="G15" s="6" t="s">
        <v>212</v>
      </c>
    </row>
    <row r="16" spans="1:12">
      <c r="B16" s="6" t="s">
        <v>27</v>
      </c>
      <c r="D16" s="19">
        <v>1500</v>
      </c>
      <c r="E16" s="19"/>
      <c r="G16" s="6" t="s">
        <v>149</v>
      </c>
    </row>
    <row r="17" spans="1:7">
      <c r="B17" s="6"/>
      <c r="D17" s="19"/>
      <c r="E17" s="20">
        <f>SUM(D7:D16)</f>
        <v>42051</v>
      </c>
    </row>
    <row r="18" spans="1:7">
      <c r="D18" s="19"/>
      <c r="E18" s="19"/>
    </row>
    <row r="19" spans="1:7">
      <c r="A19" s="11" t="s">
        <v>408</v>
      </c>
      <c r="D19" s="19"/>
      <c r="E19" s="19"/>
    </row>
    <row r="20" spans="1:7">
      <c r="A20" s="11"/>
      <c r="B20" s="6" t="s">
        <v>527</v>
      </c>
      <c r="D20" s="19">
        <v>0</v>
      </c>
      <c r="E20" s="19"/>
      <c r="G20" s="6" t="s">
        <v>319</v>
      </c>
    </row>
    <row r="21" spans="1:7">
      <c r="A21" s="11"/>
      <c r="B21" s="6" t="s">
        <v>486</v>
      </c>
      <c r="D21" s="19">
        <v>-200</v>
      </c>
      <c r="E21" s="19"/>
      <c r="G21" s="6" t="s">
        <v>159</v>
      </c>
    </row>
    <row r="22" spans="1:7">
      <c r="B22" s="6" t="s">
        <v>351</v>
      </c>
      <c r="D22" s="19">
        <v>-500</v>
      </c>
      <c r="E22" s="19"/>
      <c r="G22" s="1" t="s">
        <v>262</v>
      </c>
    </row>
    <row r="23" spans="1:7">
      <c r="B23" s="12" t="s">
        <v>70</v>
      </c>
      <c r="D23" s="19">
        <v>-2000</v>
      </c>
      <c r="E23" s="19"/>
      <c r="G23" s="1" t="s">
        <v>215</v>
      </c>
    </row>
    <row r="24" spans="1:7">
      <c r="B24" s="12" t="s">
        <v>210</v>
      </c>
      <c r="D24" s="19">
        <v>0</v>
      </c>
      <c r="E24" s="19"/>
      <c r="G24" s="1" t="s">
        <v>275</v>
      </c>
    </row>
    <row r="25" spans="1:7">
      <c r="B25" s="6" t="s">
        <v>405</v>
      </c>
      <c r="D25" s="19">
        <v>-40000</v>
      </c>
      <c r="E25" s="19"/>
      <c r="G25" s="6" t="s">
        <v>219</v>
      </c>
    </row>
    <row r="26" spans="1:7">
      <c r="B26" s="6" t="s">
        <v>433</v>
      </c>
      <c r="D26" s="19">
        <v>-30</v>
      </c>
      <c r="E26" s="19"/>
      <c r="G26" s="1" t="s">
        <v>301</v>
      </c>
    </row>
    <row r="27" spans="1:7">
      <c r="B27" s="6" t="s">
        <v>432</v>
      </c>
      <c r="D27" s="19">
        <v>-7000</v>
      </c>
      <c r="E27" s="19"/>
      <c r="G27" s="1" t="s">
        <v>193</v>
      </c>
    </row>
    <row r="28" spans="1:7">
      <c r="B28" s="6" t="s">
        <v>112</v>
      </c>
      <c r="D28" s="19">
        <v>0</v>
      </c>
      <c r="E28" s="19"/>
      <c r="G28" s="1" t="s">
        <v>231</v>
      </c>
    </row>
    <row r="29" spans="1:7">
      <c r="B29" s="6" t="s">
        <v>152</v>
      </c>
      <c r="D29" s="19">
        <v>-2000</v>
      </c>
      <c r="E29" s="19"/>
      <c r="G29" s="6" t="s">
        <v>31</v>
      </c>
    </row>
    <row r="30" spans="1:7">
      <c r="B30" s="6" t="s">
        <v>372</v>
      </c>
      <c r="D30" s="19">
        <v>0</v>
      </c>
      <c r="E30" s="19"/>
    </row>
    <row r="31" spans="1:7">
      <c r="D31" s="19"/>
      <c r="E31" s="20">
        <f>SUM(D20:D30)</f>
        <v>-51730</v>
      </c>
    </row>
    <row r="32" spans="1:7">
      <c r="D32" s="19"/>
      <c r="E32" s="19"/>
    </row>
    <row r="33" spans="1:5" ht="15" thickBot="1">
      <c r="A33" s="11" t="s">
        <v>519</v>
      </c>
      <c r="D33" s="19"/>
      <c r="E33" s="21">
        <f>SUM(E17:E31)</f>
        <v>-9679</v>
      </c>
    </row>
  </sheetData>
  <sheetCalcPr fullCalcOnLoad="1"/>
  <mergeCells count="1">
    <mergeCell ref="A1:I1"/>
  </mergeCells>
  <phoneticPr fontId="6" type="noConversion"/>
  <conditionalFormatting sqref="B23:B31 B7:B18">
    <cfRule type="expression" dxfId="6" priority="0" stopIfTrue="1">
      <formula>0</formula>
    </cfRule>
    <cfRule type="expression" dxfId="5" priority="0" stopIfTrue="1">
      <formula>0</formula>
    </cfRule>
  </conditionalFormatting>
  <pageMargins left="0.79" right="0.79" top="1.05" bottom="1.05" header="0.79" footer="0.79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workbookViewId="0">
      <selection activeCell="H1" sqref="H1"/>
    </sheetView>
  </sheetViews>
  <sheetFormatPr baseColWidth="10" defaultColWidth="7.42578125" defaultRowHeight="14"/>
  <cols>
    <col min="1" max="1" width="7.42578125" style="1"/>
    <col min="2" max="3" width="7.7109375" style="2" customWidth="1"/>
    <col min="4" max="4" width="17.140625" style="1" customWidth="1"/>
    <col min="5" max="5" width="24.28515625" style="1" customWidth="1"/>
    <col min="6" max="6" width="7.42578125" style="1"/>
    <col min="7" max="7" width="10.140625" style="1" customWidth="1"/>
    <col min="8" max="16384" width="7.42578125" style="1"/>
  </cols>
  <sheetData>
    <row r="1" spans="1:7" ht="16.5" customHeight="1">
      <c r="A1" s="106" t="s">
        <v>442</v>
      </c>
      <c r="B1" s="106"/>
      <c r="C1" s="106"/>
      <c r="D1" s="106"/>
      <c r="E1" s="106"/>
      <c r="F1" s="106"/>
      <c r="G1" s="106"/>
    </row>
    <row r="2" spans="1:7">
      <c r="A2" s="3" t="s">
        <v>150</v>
      </c>
      <c r="B2" s="4" t="s">
        <v>258</v>
      </c>
      <c r="C2" s="4" t="s">
        <v>352</v>
      </c>
      <c r="D2" s="3" t="s">
        <v>443</v>
      </c>
      <c r="E2" s="3" t="s">
        <v>105</v>
      </c>
      <c r="F2" s="22" t="s">
        <v>469</v>
      </c>
      <c r="G2" s="23" t="s">
        <v>250</v>
      </c>
    </row>
    <row r="3" spans="1:7">
      <c r="A3" s="5"/>
      <c r="B3" s="24" t="s">
        <v>253</v>
      </c>
      <c r="C3" s="24">
        <v>120</v>
      </c>
      <c r="D3" s="1" t="s">
        <v>356</v>
      </c>
      <c r="E3" s="1" t="s">
        <v>254</v>
      </c>
      <c r="F3" s="1" t="s">
        <v>207</v>
      </c>
      <c r="G3" s="1" t="s">
        <v>354</v>
      </c>
    </row>
    <row r="4" spans="1:7">
      <c r="A4" s="5"/>
      <c r="B4" s="24" t="s">
        <v>253</v>
      </c>
      <c r="C4" s="24">
        <v>160</v>
      </c>
      <c r="D4" s="1" t="s">
        <v>179</v>
      </c>
      <c r="E4" s="1" t="s">
        <v>12</v>
      </c>
      <c r="F4" s="1" t="s">
        <v>207</v>
      </c>
      <c r="G4" s="1" t="s">
        <v>354</v>
      </c>
    </row>
    <row r="5" spans="1:7">
      <c r="A5" s="5"/>
      <c r="B5" s="24"/>
      <c r="C5" s="24">
        <f>50*150</f>
        <v>7500</v>
      </c>
      <c r="D5" s="1" t="s">
        <v>174</v>
      </c>
      <c r="E5" s="1" t="s">
        <v>339</v>
      </c>
      <c r="F5" s="1" t="s">
        <v>207</v>
      </c>
      <c r="G5" s="1" t="s">
        <v>354</v>
      </c>
    </row>
    <row r="6" spans="1:7">
      <c r="B6" s="24" t="s">
        <v>253</v>
      </c>
      <c r="C6" s="24">
        <v>2600</v>
      </c>
      <c r="D6" s="1" t="s">
        <v>190</v>
      </c>
      <c r="E6" s="1" t="s">
        <v>252</v>
      </c>
      <c r="F6" s="1" t="s">
        <v>207</v>
      </c>
      <c r="G6" s="1" t="s">
        <v>151</v>
      </c>
    </row>
    <row r="7" spans="1:7">
      <c r="B7" s="24"/>
      <c r="C7" s="24">
        <v>520</v>
      </c>
      <c r="D7" s="1" t="s">
        <v>356</v>
      </c>
      <c r="E7" s="1" t="s">
        <v>217</v>
      </c>
      <c r="F7" s="1" t="s">
        <v>207</v>
      </c>
      <c r="G7" s="1" t="s">
        <v>218</v>
      </c>
    </row>
    <row r="8" spans="1:7">
      <c r="B8" s="24"/>
      <c r="C8" s="24">
        <v>500</v>
      </c>
      <c r="D8" s="1" t="s">
        <v>356</v>
      </c>
      <c r="E8" s="1" t="s">
        <v>335</v>
      </c>
      <c r="F8" s="1" t="s">
        <v>336</v>
      </c>
      <c r="G8" s="1" t="s">
        <v>218</v>
      </c>
    </row>
    <row r="9" spans="1:7">
      <c r="B9" s="24"/>
      <c r="C9" s="24">
        <v>200</v>
      </c>
      <c r="D9" s="1" t="s">
        <v>356</v>
      </c>
      <c r="E9" s="1" t="s">
        <v>191</v>
      </c>
      <c r="F9" s="1" t="s">
        <v>207</v>
      </c>
      <c r="G9" s="1" t="s">
        <v>280</v>
      </c>
    </row>
    <row r="10" spans="1:7">
      <c r="B10" s="24"/>
      <c r="C10" s="24">
        <v>360</v>
      </c>
      <c r="D10" s="1" t="s">
        <v>356</v>
      </c>
      <c r="E10" s="6" t="s">
        <v>381</v>
      </c>
      <c r="F10" s="1" t="s">
        <v>58</v>
      </c>
      <c r="G10" s="1" t="s">
        <v>259</v>
      </c>
    </row>
    <row r="11" spans="1:7">
      <c r="B11" s="24"/>
      <c r="C11" s="24">
        <v>126</v>
      </c>
      <c r="D11" s="1" t="s">
        <v>356</v>
      </c>
      <c r="E11" s="6" t="s">
        <v>79</v>
      </c>
      <c r="F11" s="1" t="s">
        <v>58</v>
      </c>
      <c r="G11" s="1" t="s">
        <v>259</v>
      </c>
    </row>
    <row r="12" spans="1:7">
      <c r="B12" s="24"/>
      <c r="C12" s="24">
        <v>860</v>
      </c>
      <c r="D12" s="1" t="s">
        <v>356</v>
      </c>
      <c r="E12" s="6" t="s">
        <v>10</v>
      </c>
      <c r="F12" s="1" t="s">
        <v>58</v>
      </c>
      <c r="G12" s="1" t="s">
        <v>280</v>
      </c>
    </row>
    <row r="13" spans="1:7">
      <c r="B13" s="24"/>
      <c r="C13" s="24">
        <v>2667</v>
      </c>
      <c r="D13" s="1" t="s">
        <v>356</v>
      </c>
      <c r="E13" s="6" t="s">
        <v>366</v>
      </c>
      <c r="F13" s="1" t="s">
        <v>58</v>
      </c>
      <c r="G13" s="1" t="s">
        <v>280</v>
      </c>
    </row>
    <row r="14" spans="1:7">
      <c r="B14" s="24"/>
      <c r="C14" s="24">
        <v>1000</v>
      </c>
      <c r="D14" s="1" t="s">
        <v>356</v>
      </c>
      <c r="E14" s="6" t="s">
        <v>73</v>
      </c>
      <c r="F14" s="1" t="s">
        <v>207</v>
      </c>
      <c r="G14" s="1" t="s">
        <v>338</v>
      </c>
    </row>
    <row r="15" spans="1:7">
      <c r="A15" s="5"/>
      <c r="B15" s="24" t="s">
        <v>253</v>
      </c>
      <c r="C15" s="24"/>
      <c r="E15" s="1" t="s">
        <v>26</v>
      </c>
      <c r="F15" s="1" t="s">
        <v>268</v>
      </c>
      <c r="G15" s="1" t="s">
        <v>189</v>
      </c>
    </row>
    <row r="16" spans="1:7">
      <c r="A16" s="5"/>
      <c r="B16" s="24" t="s">
        <v>253</v>
      </c>
      <c r="C16" s="24" t="s">
        <v>253</v>
      </c>
      <c r="E16" s="1" t="s">
        <v>350</v>
      </c>
      <c r="F16" s="1" t="s">
        <v>268</v>
      </c>
      <c r="G16" s="1" t="s">
        <v>116</v>
      </c>
    </row>
    <row r="17" spans="1:7">
      <c r="A17" s="5"/>
      <c r="B17" s="24" t="s">
        <v>253</v>
      </c>
      <c r="C17" s="24" t="s">
        <v>253</v>
      </c>
      <c r="E17" s="1" t="s">
        <v>13</v>
      </c>
      <c r="F17" s="1" t="s">
        <v>468</v>
      </c>
      <c r="G17" s="1" t="s">
        <v>28</v>
      </c>
    </row>
    <row r="19" spans="1:7">
      <c r="B19" s="24"/>
      <c r="C19" s="24"/>
    </row>
    <row r="20" spans="1:7">
      <c r="B20" s="24"/>
      <c r="C20" s="24"/>
    </row>
    <row r="21" spans="1:7">
      <c r="B21" s="24"/>
      <c r="C21" s="24"/>
    </row>
  </sheetData>
  <sheetCalcPr fullCalcOnLoad="1"/>
  <mergeCells count="1">
    <mergeCell ref="A1:G1"/>
  </mergeCells>
  <phoneticPr fontId="6" type="noConversion"/>
  <pageMargins left="0.7" right="0.7" top="0.75" bottom="0.75" header="0.51180555555555551" footer="0.5118055555555555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14"/>
  <sheetViews>
    <sheetView workbookViewId="0">
      <selection activeCell="A39" sqref="A39"/>
    </sheetView>
  </sheetViews>
  <sheetFormatPr baseColWidth="10" defaultColWidth="10.7109375" defaultRowHeight="15"/>
  <cols>
    <col min="1" max="16384" width="10.7109375" style="41"/>
  </cols>
  <sheetData>
    <row r="1" spans="1:15">
      <c r="B1" s="41" t="s">
        <v>161</v>
      </c>
      <c r="C1" s="41" t="s">
        <v>260</v>
      </c>
      <c r="D1" s="41" t="s">
        <v>172</v>
      </c>
      <c r="E1" s="41" t="s">
        <v>141</v>
      </c>
      <c r="F1" s="41" t="s">
        <v>69</v>
      </c>
      <c r="G1" s="41" t="s">
        <v>482</v>
      </c>
      <c r="H1" s="41" t="s">
        <v>395</v>
      </c>
      <c r="I1" s="41" t="s">
        <v>384</v>
      </c>
      <c r="J1" s="41" t="s">
        <v>525</v>
      </c>
      <c r="K1" s="41" t="s">
        <v>142</v>
      </c>
      <c r="L1" s="41" t="s">
        <v>62</v>
      </c>
      <c r="M1" s="41" t="s">
        <v>63</v>
      </c>
      <c r="N1" s="41" t="s">
        <v>363</v>
      </c>
      <c r="O1" s="41" t="s">
        <v>147</v>
      </c>
    </row>
    <row r="2" spans="1:15">
      <c r="A2" s="41">
        <v>2007</v>
      </c>
      <c r="B2" s="42">
        <v>1115.3800000000001</v>
      </c>
      <c r="C2" s="41">
        <v>1124.6199999999999</v>
      </c>
      <c r="D2" s="41">
        <v>-9.24</v>
      </c>
      <c r="E2" s="41">
        <f t="shared" ref="E2:E8" si="0">C2+D2</f>
        <v>1115.3799999999999</v>
      </c>
      <c r="F2" s="41">
        <v>400</v>
      </c>
      <c r="G2" s="41">
        <v>0</v>
      </c>
      <c r="H2" s="41">
        <v>0</v>
      </c>
      <c r="I2" s="41">
        <v>0</v>
      </c>
      <c r="J2" s="41">
        <v>0</v>
      </c>
      <c r="K2" s="41">
        <f t="shared" ref="K2:K8" si="1">(E2-F2-G2-H2-I2-J2)</f>
        <v>715.37999999999988</v>
      </c>
    </row>
    <row r="3" spans="1:15">
      <c r="A3" s="41">
        <v>2008</v>
      </c>
      <c r="B3" s="41">
        <v>1202.52</v>
      </c>
      <c r="C3" s="41">
        <v>174.59</v>
      </c>
      <c r="D3" s="41">
        <v>-87.45</v>
      </c>
      <c r="E3" s="41">
        <f t="shared" si="0"/>
        <v>87.14</v>
      </c>
      <c r="F3" s="41">
        <v>80</v>
      </c>
      <c r="G3" s="41">
        <v>0</v>
      </c>
      <c r="H3" s="41">
        <v>0</v>
      </c>
      <c r="I3" s="41">
        <v>0</v>
      </c>
      <c r="J3" s="41">
        <v>0</v>
      </c>
      <c r="K3" s="41">
        <f t="shared" si="1"/>
        <v>7.1400000000000006</v>
      </c>
    </row>
    <row r="4" spans="1:15">
      <c r="A4" s="41">
        <v>2009</v>
      </c>
      <c r="B4" s="41">
        <v>1228.32</v>
      </c>
      <c r="C4" s="41">
        <v>5442.02</v>
      </c>
      <c r="D4" s="41">
        <v>-5416.22</v>
      </c>
      <c r="E4" s="41">
        <f t="shared" si="0"/>
        <v>25.800000000000182</v>
      </c>
      <c r="F4" s="41">
        <v>1284</v>
      </c>
      <c r="G4" s="41">
        <v>1200</v>
      </c>
      <c r="H4" s="41">
        <v>0</v>
      </c>
      <c r="I4" s="41">
        <v>-2064.89</v>
      </c>
      <c r="J4" s="41">
        <v>0</v>
      </c>
      <c r="K4" s="41">
        <f>(E4-F4-G4-H4-I4-J4)</f>
        <v>-393.30999999999995</v>
      </c>
      <c r="L4" s="41">
        <v>1290</v>
      </c>
      <c r="M4" s="41">
        <v>90</v>
      </c>
    </row>
    <row r="5" spans="1:15">
      <c r="A5" s="41">
        <v>2010</v>
      </c>
      <c r="B5" s="41">
        <v>7661.73</v>
      </c>
      <c r="C5" s="41">
        <v>17819.900000000001</v>
      </c>
      <c r="D5" s="41">
        <v>-11386.49</v>
      </c>
      <c r="E5" s="41">
        <f t="shared" si="0"/>
        <v>6433.4100000000017</v>
      </c>
      <c r="F5" s="41">
        <v>4068</v>
      </c>
      <c r="G5" s="41">
        <v>6118.6</v>
      </c>
      <c r="H5" s="41">
        <v>1283.3399999999999</v>
      </c>
      <c r="I5" s="41">
        <v>-2381.54</v>
      </c>
      <c r="J5" s="41">
        <v>-2362.9</v>
      </c>
      <c r="K5" s="41">
        <f t="shared" si="1"/>
        <v>-292.08999999999878</v>
      </c>
      <c r="L5" s="41">
        <v>1704</v>
      </c>
      <c r="M5" s="41">
        <v>88</v>
      </c>
      <c r="N5" s="41">
        <v>670</v>
      </c>
      <c r="O5" s="41" t="s">
        <v>216</v>
      </c>
    </row>
    <row r="6" spans="1:15">
      <c r="A6" s="41">
        <v>2011</v>
      </c>
      <c r="B6" s="41">
        <v>20752.11</v>
      </c>
      <c r="C6" s="41">
        <v>27839.43</v>
      </c>
      <c r="D6" s="41">
        <v>-14749.05</v>
      </c>
      <c r="E6" s="41">
        <f t="shared" si="0"/>
        <v>13090.380000000001</v>
      </c>
      <c r="F6" s="41">
        <v>3565</v>
      </c>
      <c r="G6" s="41">
        <v>11990</v>
      </c>
      <c r="H6" s="41">
        <v>478.59</v>
      </c>
      <c r="I6" s="41">
        <v>-3055.32</v>
      </c>
      <c r="J6" s="41">
        <v>-1639.24</v>
      </c>
      <c r="K6" s="41">
        <f t="shared" si="1"/>
        <v>1751.350000000001</v>
      </c>
      <c r="L6" s="41">
        <v>2176</v>
      </c>
      <c r="M6" s="41">
        <v>147</v>
      </c>
      <c r="N6" s="41">
        <v>1406</v>
      </c>
      <c r="O6" s="41" t="s">
        <v>437</v>
      </c>
    </row>
    <row r="7" spans="1:15">
      <c r="A7" s="41">
        <v>2012</v>
      </c>
      <c r="B7" s="41">
        <v>18398.849999999999</v>
      </c>
      <c r="C7" s="41">
        <v>13411.94</v>
      </c>
      <c r="D7" s="41">
        <v>-15765.29</v>
      </c>
      <c r="E7" s="41">
        <f t="shared" si="0"/>
        <v>-2353.3500000000004</v>
      </c>
      <c r="F7" s="41">
        <v>5080</v>
      </c>
      <c r="G7" s="41">
        <v>3772</v>
      </c>
      <c r="H7" s="41">
        <v>-5299</v>
      </c>
      <c r="I7" s="41">
        <v>-4500</v>
      </c>
      <c r="J7" s="41">
        <v>0</v>
      </c>
      <c r="K7" s="41">
        <f t="shared" si="1"/>
        <v>-1406.3500000000004</v>
      </c>
      <c r="L7" s="41">
        <v>3320</v>
      </c>
      <c r="M7" s="41">
        <v>290</v>
      </c>
      <c r="N7" s="44">
        <v>890</v>
      </c>
      <c r="O7" s="44" t="s">
        <v>300</v>
      </c>
    </row>
    <row r="8" spans="1:15">
      <c r="A8" s="41">
        <v>2013</v>
      </c>
      <c r="B8" s="41">
        <v>14407.21</v>
      </c>
      <c r="C8" s="41">
        <v>18740.650000000001</v>
      </c>
      <c r="D8" s="41">
        <v>-21797.360000000001</v>
      </c>
      <c r="E8" s="41">
        <f t="shared" si="0"/>
        <v>-3056.7099999999991</v>
      </c>
      <c r="F8" s="41">
        <v>6630</v>
      </c>
      <c r="G8" s="41">
        <v>8078.6</v>
      </c>
      <c r="H8" s="41">
        <v>433.8</v>
      </c>
      <c r="I8" s="41">
        <v>-7056.63</v>
      </c>
      <c r="J8" s="41">
        <v>-193.28</v>
      </c>
      <c r="K8" s="41">
        <f t="shared" si="1"/>
        <v>-10949.199999999995</v>
      </c>
      <c r="L8" s="43">
        <v>4600</v>
      </c>
      <c r="M8" s="43">
        <v>450</v>
      </c>
    </row>
    <row r="9" spans="1:15">
      <c r="A9" s="41">
        <v>2014</v>
      </c>
      <c r="B9" s="41">
        <v>19926.419999999998</v>
      </c>
      <c r="C9" s="41">
        <v>58310.559999999998</v>
      </c>
      <c r="D9" s="41">
        <v>-52791.25</v>
      </c>
      <c r="E9" s="41">
        <f t="shared" ref="E9:E10" si="2">C9+D9</f>
        <v>5519.3099999999977</v>
      </c>
      <c r="F9" s="41">
        <v>4429</v>
      </c>
      <c r="G9" s="41">
        <v>18721.849999999999</v>
      </c>
      <c r="H9" s="41">
        <v>3999.95</v>
      </c>
      <c r="I9" s="41">
        <v>-3496.3</v>
      </c>
      <c r="J9" s="41">
        <v>0</v>
      </c>
      <c r="K9" s="41">
        <f t="shared" ref="K9:K10" si="3">(E9-F9-G9-H9-I9-J9)</f>
        <v>-18135.190000000002</v>
      </c>
      <c r="L9" s="43"/>
      <c r="M9" s="43"/>
    </row>
    <row r="10" spans="1:15">
      <c r="A10" s="41">
        <v>2015</v>
      </c>
      <c r="B10" s="41">
        <v>45285.33</v>
      </c>
      <c r="C10" s="41">
        <v>42953.14</v>
      </c>
      <c r="D10" s="41">
        <v>-17594.240000000002</v>
      </c>
      <c r="E10" s="92">
        <f t="shared" si="2"/>
        <v>25358.899999999998</v>
      </c>
      <c r="F10" s="41">
        <v>3370</v>
      </c>
      <c r="G10" s="41">
        <v>13039.17</v>
      </c>
      <c r="H10" s="41">
        <v>2826.51</v>
      </c>
      <c r="I10" s="41">
        <v>-4304.42</v>
      </c>
      <c r="J10" s="41">
        <v>0</v>
      </c>
      <c r="K10" s="41">
        <f t="shared" si="3"/>
        <v>10427.639999999998</v>
      </c>
      <c r="L10" s="43"/>
      <c r="M10" s="43"/>
    </row>
    <row r="11" spans="1:15">
      <c r="A11" s="41">
        <v>2016</v>
      </c>
      <c r="L11" s="43"/>
      <c r="M11" s="43">
        <v>57</v>
      </c>
    </row>
    <row r="12" spans="1:15">
      <c r="A12" s="41">
        <v>2017</v>
      </c>
      <c r="L12" s="43"/>
      <c r="M12" s="43"/>
    </row>
    <row r="13" spans="1:15">
      <c r="A13" s="41">
        <v>2018</v>
      </c>
      <c r="L13" s="43"/>
      <c r="M13" s="43"/>
    </row>
    <row r="14" spans="1:15">
      <c r="L14" s="43"/>
      <c r="M14" s="43"/>
    </row>
  </sheetData>
  <sheetCalcPr fullCalcOnLoad="1"/>
  <phoneticPr fontId="6" type="noConversion"/>
  <conditionalFormatting sqref="B5">
    <cfRule type="cellIs" dxfId="4" priority="0" stopIfTrue="1" operator="equal">
      <formula>$C$5-$D$5+$B$4</formula>
    </cfRule>
  </conditionalFormatting>
  <conditionalFormatting sqref="B2">
    <cfRule type="cellIs" dxfId="3" priority="0" stopIfTrue="1" operator="equal">
      <formula>$C$2-$D$2</formula>
    </cfRule>
  </conditionalFormatting>
  <conditionalFormatting sqref="B3">
    <cfRule type="cellIs" dxfId="2" priority="0" stopIfTrue="1" operator="equal">
      <formula>$C$3-$D$3+$B$2</formula>
    </cfRule>
  </conditionalFormatting>
  <conditionalFormatting sqref="B4">
    <cfRule type="cellIs" dxfId="1" priority="0" stopIfTrue="1" operator="equal">
      <formula>$C$4-$D$4+$B$3</formula>
    </cfRule>
  </conditionalFormatting>
  <conditionalFormatting sqref="B6:B14">
    <cfRule type="cellIs" dxfId="0" priority="0" stopIfTrue="1" operator="equal">
      <formula>$C$6-$D$6+$B$5</formula>
    </cfRule>
  </conditionalFormatting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Notes</vt:lpstr>
      <vt:lpstr>Journal</vt:lpstr>
      <vt:lpstr>Journal USD</vt:lpstr>
      <vt:lpstr>Balance Sheet</vt:lpstr>
      <vt:lpstr>Income Statement</vt:lpstr>
      <vt:lpstr>Cash Flow</vt:lpstr>
      <vt:lpstr>CB people</vt:lpstr>
      <vt:lpstr>P&amp;L by Cert</vt:lpstr>
      <vt:lpstr>Budget 2014</vt:lpstr>
      <vt:lpstr>Off-book expenses</vt:lpstr>
      <vt:lpstr>Historical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Grant Kerr</cp:lastModifiedBy>
  <cp:lastPrinted>2014-02-18T06:05:48Z</cp:lastPrinted>
  <dcterms:created xsi:type="dcterms:W3CDTF">2011-01-04T21:30:20Z</dcterms:created>
  <dcterms:modified xsi:type="dcterms:W3CDTF">2017-01-29T02:02:27Z</dcterms:modified>
</cp:coreProperties>
</file>