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vml" ContentType="application/vnd.openxmlformats-officedocument.vmlDrawing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320" yWindow="-20" windowWidth="21220" windowHeight="13680" tabRatio="717" activeTab="1"/>
  </bookViews>
  <sheets>
    <sheet name="Notes" sheetId="11" r:id="rId1"/>
    <sheet name="Journal" sheetId="1" r:id="rId2"/>
    <sheet name="Balance Sheet" sheetId="2" r:id="rId3"/>
    <sheet name="Income Statement" sheetId="3" r:id="rId4"/>
    <sheet name="Cash Flow" sheetId="4" r:id="rId5"/>
    <sheet name="CB people" sheetId="16" r:id="rId6"/>
    <sheet name="P&amp;L by Cert" sheetId="17" r:id="rId7"/>
    <sheet name="Budget 2012" sheetId="13" r:id="rId8"/>
    <sheet name="Off-book expenses" sheetId="9" r:id="rId9"/>
    <sheet name="Historical" sheetId="14" r:id="rId10"/>
  </sheets>
  <definedNames>
    <definedName name="_xlnm._FilterDatabase" localSheetId="1" hidden="1">Journal!$G$5:$G$246</definedName>
  </definedNames>
  <calcPr calcId="130407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2"/>
  <c r="D7"/>
  <c r="D8"/>
  <c r="E9"/>
  <c r="D15"/>
  <c r="E16"/>
  <c r="F17"/>
  <c r="F10"/>
  <c r="E16" i="13"/>
  <c r="E30"/>
  <c r="E32"/>
  <c r="E6" i="4"/>
  <c r="D7"/>
  <c r="D8"/>
  <c r="D9"/>
  <c r="D10"/>
  <c r="D11"/>
  <c r="D12"/>
  <c r="D13"/>
  <c r="D14"/>
  <c r="D15"/>
  <c r="D16"/>
  <c r="D17"/>
  <c r="D18"/>
  <c r="D19"/>
  <c r="D20"/>
  <c r="D21"/>
  <c r="D22"/>
  <c r="D23"/>
  <c r="E25"/>
  <c r="E26"/>
  <c r="F26"/>
  <c r="K7" i="16"/>
  <c r="E7" i="14"/>
  <c r="E2"/>
  <c r="K2"/>
  <c r="E3"/>
  <c r="K3"/>
  <c r="E4"/>
  <c r="K4"/>
  <c r="E5"/>
  <c r="K5"/>
  <c r="E6"/>
  <c r="K6"/>
  <c r="K7"/>
  <c r="K8"/>
  <c r="D7" i="3"/>
  <c r="D8"/>
  <c r="D9"/>
  <c r="D44"/>
  <c r="D45"/>
  <c r="D46"/>
  <c r="D47"/>
  <c r="D48"/>
  <c r="D49"/>
  <c r="D10"/>
  <c r="D43"/>
  <c r="D50"/>
  <c r="D51"/>
  <c r="D52"/>
  <c r="D53"/>
  <c r="D54"/>
  <c r="D11"/>
  <c r="D12"/>
  <c r="D13"/>
  <c r="D14"/>
  <c r="D15"/>
  <c r="D16"/>
  <c r="D17"/>
  <c r="D18"/>
  <c r="D19"/>
  <c r="E20"/>
  <c r="D22"/>
  <c r="D23"/>
  <c r="D24"/>
  <c r="D58"/>
  <c r="D59"/>
  <c r="D60"/>
  <c r="D61"/>
  <c r="D62"/>
  <c r="D63"/>
  <c r="D64"/>
  <c r="D65"/>
  <c r="D66"/>
  <c r="D67"/>
  <c r="D68"/>
  <c r="D69"/>
  <c r="D70"/>
  <c r="D71"/>
  <c r="D25"/>
  <c r="D57"/>
  <c r="D72"/>
  <c r="D73"/>
  <c r="D74"/>
  <c r="D75"/>
  <c r="D26"/>
  <c r="D27"/>
  <c r="D28"/>
  <c r="D29"/>
  <c r="D30"/>
  <c r="D31"/>
  <c r="D32"/>
  <c r="D33"/>
  <c r="D34"/>
  <c r="D35"/>
  <c r="E36"/>
  <c r="E38"/>
  <c r="E55"/>
  <c r="E76"/>
  <c r="E77"/>
  <c r="D83"/>
  <c r="D84"/>
  <c r="D85"/>
  <c r="D86"/>
  <c r="D87"/>
  <c r="D88"/>
  <c r="D89"/>
  <c r="D90"/>
  <c r="D91"/>
  <c r="D92"/>
  <c r="E93"/>
  <c r="D95"/>
  <c r="D96"/>
  <c r="D97"/>
  <c r="D98"/>
  <c r="D99"/>
  <c r="D100"/>
  <c r="D101"/>
  <c r="D102"/>
  <c r="D103"/>
  <c r="D104"/>
  <c r="D105"/>
  <c r="E106"/>
  <c r="E108"/>
  <c r="D206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B194"/>
  <c r="D194"/>
  <c r="D195"/>
  <c r="D196"/>
  <c r="D197"/>
  <c r="D198"/>
  <c r="D199"/>
  <c r="D200"/>
  <c r="D201"/>
  <c r="D202"/>
  <c r="D203"/>
  <c r="D204"/>
  <c r="D205"/>
  <c r="I194"/>
  <c r="I193"/>
  <c r="I192"/>
  <c r="I191"/>
  <c r="I184"/>
  <c r="I183"/>
  <c r="I182"/>
  <c r="I181"/>
  <c r="I180"/>
  <c r="I179"/>
  <c r="I178"/>
  <c r="I177"/>
  <c r="I176"/>
  <c r="D175"/>
  <c r="D176"/>
  <c r="I175"/>
  <c r="I174"/>
  <c r="I173"/>
  <c r="I172"/>
  <c r="I171"/>
  <c r="I170"/>
  <c r="B252"/>
  <c r="C252"/>
  <c r="D252"/>
  <c r="B251"/>
  <c r="C251"/>
  <c r="D251"/>
  <c r="I162"/>
  <c r="I157"/>
  <c r="I101"/>
  <c r="I145"/>
  <c r="I146"/>
  <c r="I147"/>
  <c r="I154"/>
  <c r="I95"/>
  <c r="I92"/>
  <c r="I93"/>
  <c r="I94"/>
  <c r="I96"/>
  <c r="I97"/>
  <c r="I98"/>
  <c r="I99"/>
  <c r="I100"/>
  <c r="I85"/>
  <c r="I86"/>
  <c r="I87"/>
  <c r="I88"/>
  <c r="I89"/>
  <c r="I90"/>
  <c r="I91"/>
  <c r="I10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103"/>
  <c r="I104"/>
  <c r="I105"/>
  <c r="I106"/>
  <c r="I107"/>
  <c r="I108"/>
  <c r="I109"/>
  <c r="I110"/>
  <c r="I111"/>
  <c r="I112"/>
  <c r="I113"/>
  <c r="I114"/>
  <c r="I115"/>
  <c r="I116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8"/>
  <c r="I149"/>
  <c r="I150"/>
  <c r="I151"/>
  <c r="I152"/>
  <c r="I153"/>
  <c r="I155"/>
  <c r="I156"/>
  <c r="I158"/>
  <c r="I159"/>
  <c r="I160"/>
  <c r="I161"/>
  <c r="I163"/>
  <c r="I164"/>
  <c r="I165"/>
  <c r="I166"/>
  <c r="I167"/>
  <c r="I168"/>
  <c r="I169"/>
  <c r="I185"/>
  <c r="I186"/>
  <c r="I187"/>
  <c r="I188"/>
  <c r="I189"/>
  <c r="I190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C263"/>
  <c r="B263"/>
  <c r="B264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C262"/>
  <c r="B262"/>
  <c r="C261"/>
  <c r="B261"/>
  <c r="I237"/>
  <c r="I238"/>
  <c r="I239"/>
  <c r="I240"/>
  <c r="I241"/>
  <c r="I242"/>
  <c r="I243"/>
  <c r="I244"/>
  <c r="I245"/>
  <c r="I246"/>
  <c r="C307"/>
  <c r="B307"/>
  <c r="B257"/>
  <c r="B258"/>
  <c r="B259"/>
  <c r="B260"/>
  <c r="B292"/>
  <c r="B293"/>
  <c r="B294"/>
  <c r="B295"/>
  <c r="B296"/>
  <c r="B297"/>
  <c r="B298"/>
  <c r="B299"/>
  <c r="B300"/>
  <c r="B301"/>
  <c r="B302"/>
  <c r="B303"/>
  <c r="B304"/>
  <c r="B305"/>
  <c r="B306"/>
  <c r="B308"/>
  <c r="B255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N44"/>
  <c r="N45"/>
  <c r="M46"/>
  <c r="N46"/>
  <c r="B248"/>
  <c r="C248"/>
  <c r="D248"/>
  <c r="B250"/>
  <c r="C250"/>
  <c r="C257"/>
  <c r="C258"/>
  <c r="C259"/>
  <c r="C260"/>
  <c r="C292"/>
  <c r="C293"/>
  <c r="C294"/>
  <c r="C295"/>
  <c r="C296"/>
  <c r="C297"/>
  <c r="C298"/>
  <c r="C299"/>
  <c r="C300"/>
  <c r="C301"/>
  <c r="C302"/>
  <c r="C303"/>
  <c r="C304"/>
  <c r="C305"/>
  <c r="C306"/>
  <c r="C308"/>
  <c r="C255"/>
  <c r="D253"/>
  <c r="C5" i="11"/>
  <c r="C6"/>
  <c r="C7"/>
  <c r="C8"/>
  <c r="D3"/>
  <c r="D4"/>
  <c r="D5"/>
  <c r="D6"/>
  <c r="D7"/>
  <c r="D8"/>
  <c r="D11"/>
  <c r="D15"/>
  <c r="C5" i="9"/>
  <c r="D19" i="17"/>
  <c r="D18"/>
  <c r="D17"/>
  <c r="D16"/>
  <c r="B19"/>
  <c r="B17"/>
  <c r="B18"/>
  <c r="B16"/>
  <c r="D13"/>
  <c r="D12"/>
  <c r="D11"/>
  <c r="D10"/>
  <c r="D9"/>
  <c r="D8"/>
  <c r="C13"/>
  <c r="C12"/>
  <c r="C11"/>
  <c r="C10"/>
  <c r="C9"/>
  <c r="C8"/>
  <c r="B13"/>
  <c r="B12"/>
  <c r="B11"/>
  <c r="B10"/>
  <c r="B9"/>
  <c r="B8"/>
  <c r="E16"/>
  <c r="E17"/>
  <c r="E18"/>
  <c r="E19"/>
  <c r="E20"/>
  <c r="F19"/>
  <c r="F18"/>
  <c r="F17"/>
  <c r="F16"/>
  <c r="F13"/>
  <c r="E13"/>
  <c r="F12"/>
  <c r="E12"/>
  <c r="E11"/>
  <c r="F11"/>
  <c r="F10"/>
  <c r="E10"/>
  <c r="E9"/>
  <c r="F9"/>
  <c r="E8"/>
  <c r="F8"/>
</calcChain>
</file>

<file path=xl/sharedStrings.xml><?xml version="1.0" encoding="utf-8"?>
<sst xmlns="http://schemas.openxmlformats.org/spreadsheetml/2006/main" count="1272" uniqueCount="537">
  <si>
    <t>BMO</t>
    <phoneticPr fontId="6" type="noConversion"/>
  </si>
  <si>
    <t>Interest</t>
    <phoneticPr fontId="6" type="noConversion"/>
  </si>
  <si>
    <t>Bank</t>
    <phoneticPr fontId="6" type="noConversion"/>
  </si>
  <si>
    <t>Ibon Zabala Fernandez</t>
    <phoneticPr fontId="6" type="noConversion"/>
  </si>
  <si>
    <t>EPC</t>
    <phoneticPr fontId="6" type="noConversion"/>
  </si>
  <si>
    <t>PayPal</t>
    <phoneticPr fontId="6" type="noConversion"/>
  </si>
  <si>
    <t>Certifications – PMAC EPC Income</t>
  </si>
  <si>
    <t>Cynthia Self</t>
    <phoneticPr fontId="6" type="noConversion"/>
  </si>
  <si>
    <t>Membership</t>
    <phoneticPr fontId="6" type="noConversion"/>
  </si>
  <si>
    <t>Membership</t>
    <phoneticPr fontId="6" type="noConversion"/>
  </si>
  <si>
    <t>Membership</t>
    <phoneticPr fontId="6" type="noConversion"/>
  </si>
  <si>
    <t>Membership</t>
    <phoneticPr fontId="6" type="noConversion"/>
  </si>
  <si>
    <t>Membership renewal</t>
    <phoneticPr fontId="6" type="noConversion"/>
  </si>
  <si>
    <t>Brian Cobbledick</t>
    <phoneticPr fontId="6" type="noConversion"/>
  </si>
  <si>
    <t>John Mitsilios</t>
    <phoneticPr fontId="6" type="noConversion"/>
  </si>
  <si>
    <t>Christina Rossano</t>
    <phoneticPr fontId="6" type="noConversion"/>
  </si>
  <si>
    <t>Proportion Training for ??</t>
    <phoneticPr fontId="6" type="noConversion"/>
  </si>
  <si>
    <t>Reverse for US cheque</t>
    <phoneticPr fontId="6" type="noConversion"/>
  </si>
  <si>
    <t>what's left</t>
    <phoneticPr fontId="6" type="noConversion"/>
  </si>
  <si>
    <t>JobWings.com</t>
    <phoneticPr fontId="6" type="noConversion"/>
  </si>
  <si>
    <t>Level D exam fee</t>
    <phoneticPr fontId="6" type="noConversion"/>
  </si>
  <si>
    <t>Bank</t>
    <phoneticPr fontId="6" type="noConversion"/>
  </si>
  <si>
    <t>Certifications – IPMA-D Income</t>
    <phoneticPr fontId="6" type="noConversion"/>
  </si>
  <si>
    <t>Bank Charges</t>
    <phoneticPr fontId="6" type="noConversion"/>
  </si>
  <si>
    <t>Proportion Training for Liane Morgan</t>
    <phoneticPr fontId="6" type="noConversion"/>
  </si>
  <si>
    <t>Level D exam fee</t>
    <phoneticPr fontId="6" type="noConversion"/>
  </si>
  <si>
    <t>MMPubs</t>
    <phoneticPr fontId="6" type="noConversion"/>
  </si>
  <si>
    <t>Cert.APM fee</t>
    <phoneticPr fontId="6" type="noConversion"/>
  </si>
  <si>
    <t>Certifications – PMAC Cert.APM Income</t>
    <phoneticPr fontId="6" type="noConversion"/>
  </si>
  <si>
    <t>Alexandro Aguirre</t>
    <phoneticPr fontId="6" type="noConversion"/>
  </si>
  <si>
    <t>Djhanine Bautista</t>
    <phoneticPr fontId="6" type="noConversion"/>
  </si>
  <si>
    <t>Membership</t>
    <phoneticPr fontId="6" type="noConversion"/>
  </si>
  <si>
    <t>Okasmieh@Gitec Group</t>
    <phoneticPr fontId="6" type="noConversion"/>
  </si>
  <si>
    <t>Michael Stephens</t>
    <phoneticPr fontId="6" type="noConversion"/>
  </si>
  <si>
    <t>PayPal</t>
    <phoneticPr fontId="6" type="noConversion"/>
  </si>
  <si>
    <t>Babatunde Sanni</t>
    <phoneticPr fontId="6" type="noConversion"/>
  </si>
  <si>
    <t>Certifications – PMAC Cert.APM Income</t>
    <phoneticPr fontId="6" type="noConversion"/>
  </si>
  <si>
    <t>Cert.APM fee refund</t>
    <phoneticPr fontId="6" type="noConversion"/>
  </si>
  <si>
    <t>Certifications – PMAC Cert.APM Income</t>
    <phoneticPr fontId="6" type="noConversion"/>
  </si>
  <si>
    <t>PayPal Transaction Fee refund</t>
    <phoneticPr fontId="6" type="noConversion"/>
  </si>
  <si>
    <t>NOTE:  $178.46 cheque #024 of 21Dec2012 to MMPubs was cleared 03Jan2013</t>
    <phoneticPr fontId="6" type="noConversion"/>
  </si>
  <si>
    <t>book, project</t>
    <phoneticPr fontId="6" type="noConversion"/>
  </si>
  <si>
    <t>AGM, ProjectWorld, webinars</t>
    <phoneticPr fontId="6" type="noConversion"/>
  </si>
  <si>
    <t>Liabilities</t>
  </si>
  <si>
    <t>Assets</t>
    <phoneticPr fontId="6" type="noConversion"/>
  </si>
  <si>
    <t>web hosting</t>
  </si>
  <si>
    <t>Budget 2012</t>
    <phoneticPr fontId="6" type="noConversion"/>
  </si>
  <si>
    <t>John R Varndell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</si>
  <si>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</si>
  <si>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</si>
  <si>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</si>
  <si>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Diane Frysztacki</t>
  </si>
  <si>
    <t>Membership</t>
    <phoneticPr fontId="6" type="noConversion"/>
  </si>
  <si>
    <t>Membership renewal</t>
    <phoneticPr fontId="6" type="noConversion"/>
  </si>
  <si>
    <t>BMO</t>
    <phoneticPr fontId="6" type="noConversion"/>
  </si>
  <si>
    <t>Interest</t>
    <phoneticPr fontId="6" type="noConversion"/>
  </si>
  <si>
    <t>Interest</t>
    <phoneticPr fontId="6" type="noConversion"/>
  </si>
  <si>
    <t>Christena Hargreaves</t>
    <phoneticPr fontId="6" type="noConversion"/>
  </si>
  <si>
    <t>Sei Eun Sarah Chun</t>
    <phoneticPr fontId="6" type="noConversion"/>
  </si>
  <si>
    <t>Nilufar Farokhmehr</t>
    <phoneticPr fontId="6" type="noConversion"/>
  </si>
  <si>
    <t>Ndene Ndlaye</t>
    <phoneticPr fontId="6" type="noConversion"/>
  </si>
  <si>
    <t>Sarah Zacharias</t>
    <phoneticPr fontId="6" type="noConversion"/>
  </si>
  <si>
    <t>Angy Beatty</t>
    <phoneticPr fontId="6" type="noConversion"/>
  </si>
  <si>
    <t>Harold Doan</t>
    <phoneticPr fontId="6" type="noConversion"/>
  </si>
  <si>
    <t>Marvin Zagrosh</t>
    <phoneticPr fontId="6" type="noConversion"/>
  </si>
  <si>
    <t>Cert.APM fee</t>
    <phoneticPr fontId="6" type="noConversion"/>
  </si>
  <si>
    <t>Certifications – PMAC Cert.APM Income</t>
    <phoneticPr fontId="6" type="noConversion"/>
  </si>
  <si>
    <t>Julie Rickard</t>
    <phoneticPr fontId="6" type="noConversion"/>
  </si>
  <si>
    <t>Michael Barnet</t>
    <phoneticPr fontId="6" type="noConversion"/>
  </si>
  <si>
    <t>Mark Kozak-Holland</t>
    <phoneticPr fontId="6" type="noConversion"/>
  </si>
  <si>
    <t>Membership renewal</t>
    <phoneticPr fontId="6" type="noConversion"/>
  </si>
  <si>
    <t>PayPal</t>
    <phoneticPr fontId="6" type="noConversion"/>
  </si>
  <si>
    <t>Sarathy Purushotham</t>
    <phoneticPr fontId="6" type="noConversion"/>
  </si>
  <si>
    <t>Membership</t>
    <phoneticPr fontId="6" type="noConversion"/>
  </si>
  <si>
    <t>Cheryl Jacobs</t>
    <phoneticPr fontId="6" type="noConversion"/>
  </si>
  <si>
    <t>Membership renewal</t>
    <phoneticPr fontId="6" type="noConversion"/>
  </si>
  <si>
    <t>Allison Dubarry</t>
    <phoneticPr fontId="6" type="noConversion"/>
  </si>
  <si>
    <t>membership</t>
  </si>
  <si>
    <t>Net Income</t>
  </si>
  <si>
    <t>Cash Flow</t>
  </si>
  <si>
    <t>Website</t>
    <phoneticPr fontId="6" type="noConversion"/>
  </si>
  <si>
    <t>Cert.APM certificate/letter production, printing, mailing</t>
  </si>
  <si>
    <t>MMPubs</t>
    <phoneticPr fontId="6" type="noConversion"/>
  </si>
  <si>
    <t>Balance Sheet</t>
  </si>
  <si>
    <t>Awards</t>
  </si>
  <si>
    <t>from Wiley &amp; MMPubs</t>
    <phoneticPr fontId="6" type="noConversion"/>
  </si>
  <si>
    <t>Patrick Lucas</t>
    <phoneticPr fontId="6" type="noConversion"/>
  </si>
  <si>
    <t>Membership</t>
    <phoneticPr fontId="6" type="noConversion"/>
  </si>
  <si>
    <t>Membership</t>
    <phoneticPr fontId="6" type="noConversion"/>
  </si>
  <si>
    <t>Mehdi Shirzadi</t>
    <phoneticPr fontId="6" type="noConversion"/>
  </si>
  <si>
    <t>Tanveer Shaikh</t>
    <phoneticPr fontId="6" type="noConversion"/>
  </si>
  <si>
    <t>Janice Steeves</t>
    <phoneticPr fontId="6" type="noConversion"/>
  </si>
  <si>
    <t>Isil Flynn</t>
    <phoneticPr fontId="6" type="noConversion"/>
  </si>
  <si>
    <t>CIBC</t>
    <phoneticPr fontId="6" type="noConversion"/>
  </si>
  <si>
    <t>Bank Charges</t>
    <phoneticPr fontId="6" type="noConversion"/>
  </si>
  <si>
    <t>Cert.APM fee refund</t>
    <phoneticPr fontId="6" type="noConversion"/>
  </si>
  <si>
    <t>Stephen Vetter</t>
    <phoneticPr fontId="6" type="noConversion"/>
  </si>
  <si>
    <t>Membership</t>
    <phoneticPr fontId="6" type="noConversion"/>
  </si>
  <si>
    <t>Membership</t>
    <phoneticPr fontId="6" type="noConversion"/>
  </si>
  <si>
    <t>Membership</t>
    <phoneticPr fontId="6" type="noConversion"/>
  </si>
  <si>
    <t>PayPal</t>
    <phoneticPr fontId="6" type="noConversion"/>
  </si>
  <si>
    <t>Iain Cruickshank</t>
    <phoneticPr fontId="6" type="noConversion"/>
  </si>
  <si>
    <t>IPMA Certification - #D</t>
    <phoneticPr fontId="6" type="noConversion"/>
  </si>
  <si>
    <t>brochures, ProjectWorld expenses, etc</t>
    <phoneticPr fontId="6" type="noConversion"/>
  </si>
  <si>
    <t>mileage expense fund</t>
    <phoneticPr fontId="6" type="noConversion"/>
  </si>
  <si>
    <t>IPMA Fees</t>
  </si>
  <si>
    <t>domain registration</t>
  </si>
  <si>
    <t>Incorporation</t>
  </si>
  <si>
    <t>Heidar Akbari, who is immigrating to Canada, has tried to join PMAC as a member, but he can not complete the payment, since he has no credit card.</t>
    <phoneticPr fontId="6" type="noConversion"/>
  </si>
  <si>
    <t>Kevin? Keith?</t>
  </si>
  <si>
    <t>Assessor fees</t>
  </si>
  <si>
    <t>Retained Earnings</t>
  </si>
  <si>
    <t>Total Liabilities</t>
  </si>
  <si>
    <t>William Pietro</t>
    <phoneticPr fontId="6" type="noConversion"/>
  </si>
  <si>
    <t>Cert.APM fee</t>
    <phoneticPr fontId="6" type="noConversion"/>
  </si>
  <si>
    <t>PayPal</t>
    <phoneticPr fontId="6" type="noConversion"/>
  </si>
  <si>
    <t>Certifications – PMAC Cert.APM Income</t>
    <phoneticPr fontId="6" type="noConversion"/>
  </si>
  <si>
    <t>Colin Catt</t>
    <phoneticPr fontId="6" type="noConversion"/>
  </si>
  <si>
    <t>Membership renewal</t>
    <phoneticPr fontId="6" type="noConversion"/>
  </si>
  <si>
    <t>Membership</t>
    <phoneticPr fontId="6" type="noConversion"/>
  </si>
  <si>
    <t>David Alan Edwards</t>
    <phoneticPr fontId="6" type="noConversion"/>
  </si>
  <si>
    <t>Ransford Kissi</t>
    <phoneticPr fontId="6" type="noConversion"/>
  </si>
  <si>
    <t>Heidar Akbari</t>
    <phoneticPr fontId="6" type="noConversion"/>
  </si>
  <si>
    <t>Yvonne Chan</t>
    <phoneticPr fontId="6" type="noConversion"/>
  </si>
  <si>
    <t>Certifications – IPMA-B Cert fee</t>
    <phoneticPr fontId="6" type="noConversion"/>
  </si>
  <si>
    <t>Certifications – IPMA-B Income</t>
    <phoneticPr fontId="6" type="noConversion"/>
  </si>
  <si>
    <t>Certifications – IPMA-C Assessor fee</t>
    <phoneticPr fontId="6" type="noConversion"/>
  </si>
  <si>
    <t>Certifications – IPMA-C Cert fee</t>
    <phoneticPr fontId="6" type="noConversion"/>
  </si>
  <si>
    <t>Certifications – IPMA-C Income</t>
    <phoneticPr fontId="6" type="noConversion"/>
  </si>
  <si>
    <t>Certifications – IPMA-D Cert fee</t>
    <phoneticPr fontId="6" type="noConversion"/>
  </si>
  <si>
    <t>Certifications – IPMA-D Income</t>
    <phoneticPr fontId="6" type="noConversion"/>
  </si>
  <si>
    <t>Certifications – IPMA-PMC Assessor fee</t>
    <phoneticPr fontId="6" type="noConversion"/>
  </si>
  <si>
    <t>Certifications – IPMA-PPMC Assessor fee</t>
    <phoneticPr fontId="6" type="noConversion"/>
  </si>
  <si>
    <t xml:space="preserve"> - We should reimburse more of Kevin's expenses, especially since he is the singe greatest income generator</t>
    <phoneticPr fontId="6" type="noConversion"/>
  </si>
  <si>
    <t>Unknown</t>
  </si>
  <si>
    <t>Annual return fee; courier fees</t>
  </si>
  <si>
    <t>Bank Charges</t>
  </si>
  <si>
    <t>Interest</t>
    <phoneticPr fontId="6" type="noConversion"/>
  </si>
  <si>
    <t>Remailing (PO box, postage, envelopes, labour)</t>
  </si>
  <si>
    <t>supplies</t>
  </si>
  <si>
    <t>Fax services</t>
  </si>
  <si>
    <t xml:space="preserve">Kevin </t>
  </si>
  <si>
    <t>has chosen not to register for, nor collect, GST/HST.</t>
  </si>
  <si>
    <t>James Barrass</t>
    <phoneticPr fontId="6" type="noConversion"/>
  </si>
  <si>
    <t>Dayna Albert</t>
    <phoneticPr fontId="6" type="noConversion"/>
  </si>
  <si>
    <t>Frank Fazzari</t>
    <phoneticPr fontId="6" type="noConversion"/>
  </si>
  <si>
    <t>Level B</t>
    <phoneticPr fontId="6" type="noConversion"/>
  </si>
  <si>
    <t>He paid his membership fee to Alex in Tehran (equivalent to C$150, but it should only be C$100). Email 29May2012</t>
    <phoneticPr fontId="6" type="noConversion"/>
  </si>
  <si>
    <t>Income Statement</t>
  </si>
  <si>
    <t>#Cert</t>
    <phoneticPr fontId="6" type="noConversion"/>
  </si>
  <si>
    <t>PayPal</t>
  </si>
  <si>
    <t>Membership</t>
  </si>
  <si>
    <t>Annual Summary</t>
    <phoneticPr fontId="6" type="noConversion"/>
  </si>
  <si>
    <t>Grant Kerr</t>
    <phoneticPr fontId="6" type="noConversion"/>
  </si>
  <si>
    <t>Membership renewal</t>
    <phoneticPr fontId="6" type="noConversion"/>
  </si>
  <si>
    <t>PayPal</t>
    <phoneticPr fontId="6" type="noConversion"/>
  </si>
  <si>
    <t>Membership</t>
    <phoneticPr fontId="6" type="noConversion"/>
  </si>
  <si>
    <t>Out</t>
  </si>
  <si>
    <t>Balance</t>
  </si>
  <si>
    <t>Who</t>
  </si>
  <si>
    <t>Why</t>
  </si>
  <si>
    <t>Accreditations</t>
  </si>
  <si>
    <t>new courses</t>
  </si>
  <si>
    <t>4LC</t>
  </si>
  <si>
    <t>Agile &amp; EPC</t>
  </si>
  <si>
    <t>IPMA Fee (Euro)</t>
    <phoneticPr fontId="6" type="noConversion"/>
  </si>
  <si>
    <t>#members</t>
    <phoneticPr fontId="6" type="noConversion"/>
  </si>
  <si>
    <t>Cert fee (Euro)</t>
    <phoneticPr fontId="6" type="noConversion"/>
  </si>
  <si>
    <t>Project Management Association of Canada /
 Association de Management de Projet du Canada</t>
  </si>
  <si>
    <t>Journal</t>
  </si>
  <si>
    <t>150 hours per year</t>
  </si>
  <si>
    <t xml:space="preserve"> - requires members to renew</t>
    <phoneticPr fontId="6" type="noConversion"/>
  </si>
  <si>
    <t>Totals by Account</t>
  </si>
  <si>
    <t>Income – year to date</t>
  </si>
  <si>
    <t>Totals by Category</t>
  </si>
  <si>
    <t>Marcelo Villegas Salinas</t>
    <phoneticPr fontId="6" type="noConversion"/>
  </si>
  <si>
    <t>Membership renewal</t>
    <phoneticPr fontId="6" type="noConversion"/>
  </si>
  <si>
    <t>Membership</t>
    <phoneticPr fontId="6" type="noConversion"/>
  </si>
  <si>
    <t>Bob Robinson</t>
    <phoneticPr fontId="6" type="noConversion"/>
  </si>
  <si>
    <t>Membership</t>
    <phoneticPr fontId="6" type="noConversion"/>
  </si>
  <si>
    <t>Zeljko Marcan</t>
    <phoneticPr fontId="6" type="noConversion"/>
  </si>
  <si>
    <t>PayPal</t>
    <phoneticPr fontId="6" type="noConversion"/>
  </si>
  <si>
    <t>Cliff Skene</t>
    <phoneticPr fontId="6" type="noConversion"/>
  </si>
  <si>
    <t>Rob Doley</t>
    <phoneticPr fontId="6" type="noConversion"/>
  </si>
  <si>
    <t>Wilfred Verboom</t>
    <phoneticPr fontId="6" type="noConversion"/>
  </si>
  <si>
    <t>Membership</t>
    <phoneticPr fontId="6" type="noConversion"/>
  </si>
  <si>
    <t>Alexander Russell</t>
    <phoneticPr fontId="6" type="noConversion"/>
  </si>
  <si>
    <t>Net Change in cash position</t>
  </si>
  <si>
    <t>Closing Balance</t>
  </si>
  <si>
    <t>Bank account</t>
  </si>
  <si>
    <t>Paypal account</t>
  </si>
  <si>
    <t>Elvis Celic</t>
    <phoneticPr fontId="6" type="noConversion"/>
  </si>
  <si>
    <t>12 new plus 30 renewing members</t>
    <phoneticPr fontId="6" type="noConversion"/>
  </si>
  <si>
    <t>Actual</t>
    <phoneticPr fontId="6" type="noConversion"/>
  </si>
  <si>
    <t>AGM, webinars</t>
    <phoneticPr fontId="6" type="noConversion"/>
  </si>
  <si>
    <t>Website</t>
    <phoneticPr fontId="6" type="noConversion"/>
  </si>
  <si>
    <t>supplier, other</t>
  </si>
  <si>
    <t xml:space="preserve"> - IPMA and assessor fees assume members and certifications, so that's okay</t>
    <phoneticPr fontId="6" type="noConversion"/>
  </si>
  <si>
    <t>CAD</t>
    <phoneticPr fontId="6" type="noConversion"/>
  </si>
  <si>
    <t>Keith</t>
  </si>
  <si>
    <t>Who From</t>
  </si>
  <si>
    <t>Year's starting balance</t>
  </si>
  <si>
    <t>Events</t>
  </si>
  <si>
    <t>3 domains, per year</t>
  </si>
  <si>
    <t>IPMA Certification - #B</t>
    <phoneticPr fontId="6" type="noConversion"/>
  </si>
  <si>
    <t>paper, forms, etc.</t>
  </si>
  <si>
    <t>Assess-1</t>
    <phoneticPr fontId="6" type="noConversion"/>
  </si>
  <si>
    <t>Assess-2</t>
    <phoneticPr fontId="6" type="noConversion"/>
  </si>
  <si>
    <t>Alex</t>
    <phoneticPr fontId="6" type="noConversion"/>
  </si>
  <si>
    <t>Grant</t>
    <phoneticPr fontId="6" type="noConversion"/>
  </si>
  <si>
    <t>x? A</t>
    <phoneticPr fontId="6" type="noConversion"/>
  </si>
  <si>
    <t>Ron Patava</t>
    <phoneticPr fontId="6" type="noConversion"/>
  </si>
  <si>
    <t>PMAC Off-book expenses</t>
  </si>
  <si>
    <t>Who To</t>
  </si>
  <si>
    <t>Membership renewal</t>
    <phoneticPr fontId="6" type="noConversion"/>
  </si>
  <si>
    <t>as of December 31, 2013</t>
    <phoneticPr fontId="6" type="noConversion"/>
  </si>
  <si>
    <t>Interest</t>
    <phoneticPr fontId="6" type="noConversion"/>
  </si>
  <si>
    <t>January 1, 2013 - December 31, 2013</t>
    <phoneticPr fontId="6" type="noConversion"/>
  </si>
  <si>
    <t>January 1, 2013 – December 31, 2013</t>
    <phoneticPr fontId="6" type="noConversion"/>
  </si>
  <si>
    <t>Certifications – PMAC</t>
    <phoneticPr fontId="6" type="noConversion"/>
  </si>
  <si>
    <t>Certifications – PMAC Cert.APM Income</t>
    <phoneticPr fontId="6" type="noConversion"/>
  </si>
  <si>
    <t>Certifications – PMAC Sr.APM Income</t>
    <phoneticPr fontId="6" type="noConversion"/>
  </si>
  <si>
    <t>Website</t>
    <phoneticPr fontId="6" type="noConversion"/>
  </si>
  <si>
    <t>Certifications – IPMA</t>
    <phoneticPr fontId="6" type="noConversion"/>
  </si>
  <si>
    <t>Certifications – PMAC EPC Income</t>
    <phoneticPr fontId="6" type="noConversion"/>
  </si>
  <si>
    <t>Certifications – PMAC Thinking Income</t>
    <phoneticPr fontId="6" type="noConversion"/>
  </si>
  <si>
    <t>Certifications – IPMA CB fees/ expenses</t>
    <phoneticPr fontId="6" type="noConversion"/>
  </si>
  <si>
    <t>Certifications – IPMA CB Validation</t>
    <phoneticPr fontId="6" type="noConversion"/>
  </si>
  <si>
    <t>Note: Approximately $12,000 (not yet cross-checked with Kevin) of Cert.APM exam fees are receivable from University of Toronto for 2012. (based on count of 156 issued in 2012, but payment received for only 36 - assume the remainder are from UofT)</t>
  </si>
  <si>
    <t>Membership</t>
    <phoneticPr fontId="6" type="noConversion"/>
  </si>
  <si>
    <t>Bruno DiRenzo</t>
    <phoneticPr fontId="6" type="noConversion"/>
  </si>
  <si>
    <t>per year</t>
  </si>
  <si>
    <t>January 1, 2013 - December 31, 2013</t>
    <phoneticPr fontId="6" type="noConversion"/>
  </si>
  <si>
    <t>Martin Mills</t>
    <phoneticPr fontId="6" type="noConversion"/>
  </si>
  <si>
    <t>IPMA Certification - 1st assessors?</t>
    <phoneticPr fontId="6" type="noConversion"/>
  </si>
  <si>
    <t>Euro</t>
    <phoneticPr fontId="6" type="noConversion"/>
  </si>
  <si>
    <t>Certification</t>
  </si>
  <si>
    <t>Website</t>
  </si>
  <si>
    <t>Insurance</t>
  </si>
  <si>
    <t>Expressbytes.ca (Glen Sabatier)</t>
    <phoneticPr fontId="6" type="noConversion"/>
  </si>
  <si>
    <t>Certifications – IPMA CB Validation</t>
    <phoneticPr fontId="6" type="noConversion"/>
  </si>
  <si>
    <t>Certifications – IPMA-A Cert fee</t>
    <phoneticPr fontId="6" type="noConversion"/>
  </si>
  <si>
    <t>Certifications – IPMA-B Assessor fee</t>
    <phoneticPr fontId="6" type="noConversion"/>
  </si>
  <si>
    <t>primary revenue sources are PMAC certifications and memberships, with 4LC certifications starting to make an impact this year</t>
    <phoneticPr fontId="6" type="noConversion"/>
  </si>
  <si>
    <t>Primary expenses are IPMA fees, assessor fees, and events (including travel)</t>
    <phoneticPr fontId="6" type="noConversion"/>
  </si>
  <si>
    <t>PayPal</t>
    <phoneticPr fontId="6" type="noConversion"/>
  </si>
  <si>
    <t>PayPal</t>
    <phoneticPr fontId="6" type="noConversion"/>
  </si>
  <si>
    <t>BMO</t>
    <phoneticPr fontId="6" type="noConversion"/>
  </si>
  <si>
    <t>Certifications – IPMA-PPMC Income</t>
    <phoneticPr fontId="6" type="noConversion"/>
  </si>
  <si>
    <t>Certifications – PMAC</t>
    <phoneticPr fontId="6" type="noConversion"/>
  </si>
  <si>
    <t>Certifications – PMAC Cert.APM Income</t>
    <phoneticPr fontId="6" type="noConversion"/>
  </si>
  <si>
    <t>Certifications – PMAC EPC Assessor fee</t>
    <phoneticPr fontId="6" type="noConversion"/>
  </si>
  <si>
    <t>Certifications – PMAC Sr.APM Assessor fee</t>
    <phoneticPr fontId="6" type="noConversion"/>
  </si>
  <si>
    <t>Certifications – PMAC Sr.APM Income</t>
    <phoneticPr fontId="6" type="noConversion"/>
  </si>
  <si>
    <t>Certifications – PMAC Thinking Income</t>
    <phoneticPr fontId="6" type="noConversion"/>
  </si>
  <si>
    <t>Membership</t>
    <phoneticPr fontId="6" type="noConversion"/>
  </si>
  <si>
    <t>There are still a lot (~$10-20,000) of in-kind expenses/ donations</t>
    <phoneticPr fontId="6" type="noConversion"/>
  </si>
  <si>
    <t>IPMA Certification base fee</t>
    <phoneticPr fontId="6" type="noConversion"/>
  </si>
  <si>
    <t>Jolita Baliukeviciute</t>
    <phoneticPr fontId="6" type="noConversion"/>
  </si>
  <si>
    <t>BMO</t>
    <phoneticPr fontId="6" type="noConversion"/>
  </si>
  <si>
    <t>Brian Buss</t>
    <phoneticPr fontId="6" type="noConversion"/>
  </si>
  <si>
    <t>CIBC</t>
    <phoneticPr fontId="6" type="noConversion"/>
  </si>
  <si>
    <t>Donations in kind</t>
  </si>
  <si>
    <t>Admin</t>
  </si>
  <si>
    <t>IPMA fees</t>
  </si>
  <si>
    <t>Interest</t>
  </si>
  <si>
    <t>Grant</t>
  </si>
  <si>
    <t>PayPal mostly</t>
  </si>
  <si>
    <t>Donations</t>
  </si>
  <si>
    <t>IPMA Certification fee</t>
    <phoneticPr fontId="6" type="noConversion"/>
  </si>
  <si>
    <t>Assessor fee</t>
    <phoneticPr fontId="6" type="noConversion"/>
  </si>
  <si>
    <t>Level A</t>
    <phoneticPr fontId="6" type="noConversion"/>
  </si>
  <si>
    <t>Douglas Hill</t>
    <phoneticPr fontId="6" type="noConversion"/>
  </si>
  <si>
    <t>Membership renewal</t>
    <phoneticPr fontId="6" type="noConversion"/>
  </si>
  <si>
    <t>assessing in 2013</t>
    <phoneticPr fontId="6" type="noConversion"/>
  </si>
  <si>
    <t>Level C</t>
    <phoneticPr fontId="6" type="noConversion"/>
  </si>
  <si>
    <t>Level D</t>
    <phoneticPr fontId="6" type="noConversion"/>
  </si>
  <si>
    <t>PMC</t>
    <phoneticPr fontId="6" type="noConversion"/>
  </si>
  <si>
    <t>PPMC</t>
    <phoneticPr fontId="6" type="noConversion"/>
  </si>
  <si>
    <t>N/A</t>
    <phoneticPr fontId="6" type="noConversion"/>
  </si>
  <si>
    <t>Sr.APM</t>
    <phoneticPr fontId="6" type="noConversion"/>
  </si>
  <si>
    <t>IPMA Certification - #A</t>
    <phoneticPr fontId="6" type="noConversion"/>
  </si>
  <si>
    <t>Expenses</t>
  </si>
  <si>
    <t>Treasurer</t>
  </si>
  <si>
    <t>Cert.APM brochure/exam production, printing</t>
  </si>
  <si>
    <t>Account</t>
  </si>
  <si>
    <t>Advertising</t>
    <phoneticPr fontId="6" type="noConversion"/>
  </si>
  <si>
    <t>1A, 1B, 3C, 15D</t>
    <phoneticPr fontId="6" type="noConversion"/>
  </si>
  <si>
    <t>Other</t>
  </si>
  <si>
    <t>IPMA MA Fees</t>
  </si>
  <si>
    <t>IPMA MA Fees</t>
    <phoneticPr fontId="6" type="noConversion"/>
  </si>
  <si>
    <t>IPMA MA Fees</t>
    <phoneticPr fontId="6" type="noConversion"/>
  </si>
  <si>
    <t>Job board</t>
    <phoneticPr fontId="6" type="noConversion"/>
  </si>
  <si>
    <t>Date</t>
  </si>
  <si>
    <t>In</t>
  </si>
  <si>
    <t>certification</t>
  </si>
  <si>
    <t>Tot Inc</t>
    <phoneticPr fontId="6" type="noConversion"/>
  </si>
  <si>
    <t>Cert-4LC (net)</t>
    <phoneticPr fontId="6" type="noConversion"/>
  </si>
  <si>
    <t>IPMA fee</t>
    <phoneticPr fontId="6" type="noConversion"/>
  </si>
  <si>
    <t>Advert (net)</t>
    <phoneticPr fontId="6" type="noConversion"/>
  </si>
  <si>
    <t>Net Income</t>
    <phoneticPr fontId="6" type="noConversion"/>
  </si>
  <si>
    <t>Other Inc (net)</t>
    <phoneticPr fontId="6" type="noConversion"/>
  </si>
  <si>
    <t>Membership (net)</t>
    <phoneticPr fontId="6" type="noConversion"/>
  </si>
  <si>
    <t>Note: the following cheques have been written and entered in the Journal, but were not cleared before 2012 year-end, so the funds were still in the account as of 31Dec2012.</t>
    <phoneticPr fontId="6" type="noConversion"/>
  </si>
  <si>
    <t>Meetings</t>
  </si>
  <si>
    <t>Supplies</t>
  </si>
  <si>
    <t>Telephone</t>
  </si>
  <si>
    <t>Travel</t>
  </si>
  <si>
    <t>Certifications – IPMA</t>
    <phoneticPr fontId="6" type="noConversion"/>
  </si>
  <si>
    <t>For MA</t>
    <phoneticPr fontId="6" type="noConversion"/>
  </si>
  <si>
    <t>For CB</t>
    <phoneticPr fontId="6" type="noConversion"/>
  </si>
  <si>
    <t>Jay Hundal</t>
    <phoneticPr fontId="6" type="noConversion"/>
  </si>
  <si>
    <t>IPMA-B</t>
    <phoneticPr fontId="6" type="noConversion"/>
  </si>
  <si>
    <t>Membership renewal</t>
    <phoneticPr fontId="6" type="noConversion"/>
  </si>
  <si>
    <t>PayPal</t>
    <phoneticPr fontId="6" type="noConversion"/>
  </si>
  <si>
    <t>Trisha Kapoor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</si>
  <si>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</si>
  <si>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</si>
  <si>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</si>
  <si>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Grant Schaffer</t>
    <phoneticPr fontId="6" type="noConversion"/>
  </si>
  <si>
    <t>PayPal</t>
    <phoneticPr fontId="6" type="noConversion"/>
  </si>
  <si>
    <t>Membership</t>
    <phoneticPr fontId="6" type="noConversion"/>
  </si>
  <si>
    <t>PayPal Transaction Fee</t>
  </si>
  <si>
    <t>Ledger</t>
    <phoneticPr fontId="6" type="noConversion"/>
  </si>
  <si>
    <t>Who</t>
    <phoneticPr fontId="6" type="noConversion"/>
  </si>
  <si>
    <t>What</t>
    <phoneticPr fontId="6" type="noConversion"/>
  </si>
  <si>
    <t>Comments</t>
    <phoneticPr fontId="6" type="noConversion"/>
  </si>
  <si>
    <t>When</t>
    <phoneticPr fontId="6" type="noConversion"/>
  </si>
  <si>
    <t>In</t>
    <phoneticPr fontId="6" type="noConversion"/>
  </si>
  <si>
    <t>Out</t>
    <phoneticPr fontId="6" type="noConversion"/>
  </si>
  <si>
    <t>For Assess-1</t>
    <phoneticPr fontId="6" type="noConversion"/>
  </si>
  <si>
    <t>For Assess-2</t>
    <phoneticPr fontId="6" type="noConversion"/>
  </si>
  <si>
    <t>paid in 2012</t>
    <phoneticPr fontId="6" type="noConversion"/>
  </si>
  <si>
    <t>For IPMA</t>
    <phoneticPr fontId="6" type="noConversion"/>
  </si>
  <si>
    <t>PayPal</t>
    <phoneticPr fontId="6" type="noConversion"/>
  </si>
  <si>
    <t>Membership</t>
    <phoneticPr fontId="6" type="noConversion"/>
  </si>
  <si>
    <t>BMO</t>
    <phoneticPr fontId="6" type="noConversion"/>
  </si>
  <si>
    <t>Bank Charges</t>
    <phoneticPr fontId="6" type="noConversion"/>
  </si>
  <si>
    <t>Heidi Langen</t>
    <phoneticPr fontId="6" type="noConversion"/>
  </si>
  <si>
    <t>Membership</t>
    <phoneticPr fontId="6" type="noConversion"/>
  </si>
  <si>
    <t>Membership</t>
    <phoneticPr fontId="6" type="noConversion"/>
  </si>
  <si>
    <t>Certifications – IPMA CB fees/ expenses</t>
    <phoneticPr fontId="6" type="noConversion"/>
  </si>
  <si>
    <t>Certifications – IPMA-A income</t>
    <phoneticPr fontId="6" type="noConversion"/>
  </si>
  <si>
    <t>Incorporation</t>
    <phoneticPr fontId="6" type="noConversion"/>
  </si>
  <si>
    <t>January 1, 2013 - December 31, 2013</t>
    <phoneticPr fontId="6" type="noConversion"/>
  </si>
  <si>
    <t>Certifications – IPMA-B Cert fee</t>
    <phoneticPr fontId="6" type="noConversion"/>
  </si>
  <si>
    <t>Supplies</t>
    <phoneticPr fontId="6" type="noConversion"/>
  </si>
  <si>
    <t>Website</t>
    <phoneticPr fontId="6" type="noConversion"/>
  </si>
  <si>
    <t>Income Statement - Certification Body</t>
    <phoneticPr fontId="6" type="noConversion"/>
  </si>
  <si>
    <t>January 1, 2012 - December 31, 2012</t>
    <phoneticPr fontId="6" type="noConversion"/>
  </si>
  <si>
    <t>incorporation</t>
  </si>
  <si>
    <t>address; document design</t>
  </si>
  <si>
    <t xml:space="preserve"> - requires Kevin and Keith and Berteig and Proportion to offer classes and submit members</t>
    <phoneticPr fontId="6" type="noConversion"/>
  </si>
  <si>
    <t>Revenue</t>
  </si>
  <si>
    <t>Miscellaneous:</t>
    <phoneticPr fontId="6" type="noConversion"/>
  </si>
  <si>
    <t xml:space="preserve">IPMA membership fee  €5080 </t>
    <phoneticPr fontId="6" type="noConversion"/>
  </si>
  <si>
    <t>Supplies</t>
    <phoneticPr fontId="6" type="noConversion"/>
  </si>
  <si>
    <t>3D</t>
    <phoneticPr fontId="6" type="noConversion"/>
  </si>
  <si>
    <t>IPMA CB Validation - Accommodations</t>
  </si>
  <si>
    <t>Reserve ~$XX,000 for IPMA</t>
    <phoneticPr fontId="6" type="noConversion"/>
  </si>
  <si>
    <t>Assumptions and comments for 2013 Budget</t>
    <phoneticPr fontId="6" type="noConversion"/>
  </si>
  <si>
    <t>Certification</t>
    <phoneticPr fontId="6" type="noConversion"/>
  </si>
  <si>
    <t>JobWings.com</t>
    <phoneticPr fontId="6" type="noConversion"/>
  </si>
  <si>
    <t>for Job Postings</t>
    <phoneticPr fontId="6" type="noConversion"/>
  </si>
  <si>
    <t xml:space="preserve"> - events are supposed to raise profile and generate memberships – and must be evaluated on that basis</t>
    <phoneticPr fontId="6" type="noConversion"/>
  </si>
  <si>
    <t>membership discounts (complete guess)</t>
  </si>
  <si>
    <t>Tot Exp</t>
    <phoneticPr fontId="6" type="noConversion"/>
  </si>
  <si>
    <t>Membership Package printing/mailing (incl. env+postage), 200x$4.30</t>
  </si>
  <si>
    <t>Certifications – IPMA-D Assessor fee</t>
    <phoneticPr fontId="6" type="noConversion"/>
  </si>
  <si>
    <t>Certifications – IPMA-PMC Income</t>
    <phoneticPr fontId="6" type="noConversion"/>
  </si>
  <si>
    <t>Certifications – IPMA-PMC Cert fee</t>
    <phoneticPr fontId="6" type="noConversion"/>
  </si>
  <si>
    <t>Certifications – IPMA-PPMC Cert fee</t>
    <phoneticPr fontId="6" type="noConversion"/>
  </si>
  <si>
    <t>Other</t>
    <phoneticPr fontId="6" type="noConversion"/>
  </si>
  <si>
    <t>transfer from Paypal to bank</t>
    <phoneticPr fontId="6" type="noConversion"/>
  </si>
  <si>
    <t>transfer from PayPal to bank</t>
    <phoneticPr fontId="6" type="noConversion"/>
  </si>
  <si>
    <t>IPMA</t>
    <phoneticPr fontId="6" type="noConversion"/>
  </si>
  <si>
    <t>PayPal Transaction Fee</t>
    <phoneticPr fontId="6" type="noConversion"/>
  </si>
  <si>
    <t>PayPal</t>
    <phoneticPr fontId="6" type="noConversion"/>
  </si>
  <si>
    <t>PMAC does not charge GST/HST because it is a small supplier according to the Canada Revenue Agency and</t>
    <phoneticPr fontId="6" type="noConversion"/>
  </si>
  <si>
    <t>Sridhar Kethanadapatti</t>
    <phoneticPr fontId="6" type="noConversion"/>
  </si>
  <si>
    <t>Membership renewal</t>
    <phoneticPr fontId="6" type="noConversion"/>
  </si>
  <si>
    <t>PayPal</t>
    <phoneticPr fontId="6" type="noConversion"/>
  </si>
  <si>
    <t>Membership</t>
    <phoneticPr fontId="6" type="noConversion"/>
  </si>
  <si>
    <t>Curtis Rogers</t>
    <phoneticPr fontId="6" type="noConversion"/>
  </si>
  <si>
    <t>Membership</t>
    <phoneticPr fontId="6" type="noConversion"/>
  </si>
  <si>
    <t>Kieran Clohosey</t>
    <phoneticPr fontId="6" type="noConversion"/>
  </si>
  <si>
    <t>Certifications – PMAC Cert.APM Income</t>
  </si>
  <si>
    <t>BMO</t>
    <phoneticPr fontId="6" type="noConversion"/>
  </si>
  <si>
    <t>Daniel Crosthwaite</t>
    <phoneticPr fontId="6" type="noConversion"/>
  </si>
  <si>
    <t>Membership</t>
    <phoneticPr fontId="6" type="noConversion"/>
  </si>
  <si>
    <t>Arshia Mantashi</t>
    <phoneticPr fontId="6" type="noConversion"/>
  </si>
  <si>
    <t>For 2013:</t>
    <phoneticPr fontId="6" type="noConversion"/>
  </si>
  <si>
    <t>Membership</t>
    <phoneticPr fontId="6" type="noConversion"/>
  </si>
  <si>
    <t>PayPal</t>
    <phoneticPr fontId="6" type="noConversion"/>
  </si>
  <si>
    <t>John Sabourin</t>
    <phoneticPr fontId="6" type="noConversion"/>
  </si>
  <si>
    <t>Saeed Alkaltham</t>
    <phoneticPr fontId="6" type="noConversion"/>
  </si>
  <si>
    <t>Merchant electronic bill payment</t>
    <phoneticPr fontId="6" type="noConversion"/>
  </si>
  <si>
    <t>Bank Charges</t>
    <phoneticPr fontId="6" type="noConversion"/>
  </si>
  <si>
    <t>Bank Charges</t>
    <phoneticPr fontId="6" type="noConversion"/>
  </si>
  <si>
    <t>Travel expenses re: Jay H LvlB interview</t>
    <phoneticPr fontId="6" type="noConversion"/>
  </si>
  <si>
    <t>Certifications – IPMA CB Travel expenses</t>
  </si>
  <si>
    <t>Certifications – IPMA CB Travel expenses</t>
    <phoneticPr fontId="6" type="noConversion"/>
  </si>
  <si>
    <t>EPC</t>
    <phoneticPr fontId="6" type="noConversion"/>
  </si>
  <si>
    <t>Thinking</t>
    <phoneticPr fontId="6" type="noConversion"/>
  </si>
  <si>
    <t>conference calls</t>
  </si>
  <si>
    <t>?</t>
  </si>
  <si>
    <t>Certifications – PMAC</t>
  </si>
  <si>
    <t>Daniel O'Brien</t>
    <phoneticPr fontId="6" type="noConversion"/>
  </si>
  <si>
    <t>Cert.APM fee</t>
    <phoneticPr fontId="6" type="noConversion"/>
  </si>
  <si>
    <t>PayPal</t>
    <phoneticPr fontId="6" type="noConversion"/>
  </si>
  <si>
    <t>PayPal</t>
    <phoneticPr fontId="6" type="noConversion"/>
  </si>
  <si>
    <t>Bank Charges</t>
    <phoneticPr fontId="6" type="noConversion"/>
  </si>
  <si>
    <t>Cedric Vranckx</t>
    <phoneticPr fontId="6" type="noConversion"/>
  </si>
  <si>
    <t>PayPal Transaction Fee Refund</t>
    <phoneticPr fontId="6" type="noConversion"/>
  </si>
  <si>
    <t>Cedric Vranckx</t>
    <phoneticPr fontId="6" type="noConversion"/>
  </si>
  <si>
    <t>Certifications – IPMA-PPMC Assessor fee</t>
    <phoneticPr fontId="6" type="noConversion"/>
  </si>
  <si>
    <t>Certifications – PMAC EPC Assessor fee</t>
    <phoneticPr fontId="6" type="noConversion"/>
  </si>
  <si>
    <t>Cert-PMAC (net)</t>
    <phoneticPr fontId="6" type="noConversion"/>
  </si>
  <si>
    <t>IPMA Certification - #C</t>
    <phoneticPr fontId="6" type="noConversion"/>
  </si>
  <si>
    <t xml:space="preserve">bank fees; </t>
  </si>
  <si>
    <t>Publications</t>
  </si>
  <si>
    <t>webmaster</t>
  </si>
  <si>
    <t>unlimited use, per year</t>
  </si>
  <si>
    <t>Xerox docucards for membership</t>
  </si>
  <si>
    <t>Opening Balance</t>
  </si>
  <si>
    <t>Bank</t>
  </si>
  <si>
    <t>Responsibility</t>
  </si>
  <si>
    <t>Advertising</t>
  </si>
  <si>
    <t>Legal &amp; Professional Fees</t>
  </si>
  <si>
    <t>Project Management Association of Canada /
 Association de gestion de Projet du Canada</t>
    <phoneticPr fontId="6" type="noConversion"/>
  </si>
  <si>
    <t>CB Profit &amp; Loss by Product</t>
    <phoneticPr fontId="6" type="noConversion"/>
  </si>
  <si>
    <t>DRAFT REPORT</t>
    <phoneticPr fontId="6" type="noConversion"/>
  </si>
  <si>
    <t>Product</t>
    <phoneticPr fontId="6" type="noConversion"/>
  </si>
  <si>
    <t>Income</t>
    <phoneticPr fontId="6" type="noConversion"/>
  </si>
  <si>
    <t>Expense</t>
    <phoneticPr fontId="6" type="noConversion"/>
  </si>
  <si>
    <t>Profit (Loss)</t>
    <phoneticPr fontId="6" type="noConversion"/>
  </si>
  <si>
    <t>% Profit</t>
    <phoneticPr fontId="6" type="noConversion"/>
  </si>
  <si>
    <t>Count certs</t>
    <phoneticPr fontId="6" type="noConversion"/>
  </si>
  <si>
    <t>Count Cert fees</t>
    <phoneticPr fontId="6" type="noConversion"/>
  </si>
  <si>
    <t>Count Assess fees</t>
    <phoneticPr fontId="6" type="noConversion"/>
  </si>
  <si>
    <t>Daniel O'Brien</t>
    <phoneticPr fontId="6" type="noConversion"/>
  </si>
  <si>
    <t>Cert.APM</t>
    <phoneticPr fontId="6" type="noConversion"/>
  </si>
  <si>
    <t>Project Management Association of Canada Certification Body</t>
    <phoneticPr fontId="6" type="noConversion"/>
  </si>
  <si>
    <t>Certifications – IPMA-A Assessor fee</t>
    <phoneticPr fontId="6" type="noConversion"/>
  </si>
  <si>
    <t>Category</t>
  </si>
  <si>
    <t>IPMA CB Validation - Effort</t>
  </si>
  <si>
    <t>IPMA CB Validation - IPMA Fee</t>
  </si>
  <si>
    <t>Certifications – 4LC</t>
  </si>
  <si>
    <t>Awards</t>
    <phoneticPr fontId="6" type="noConversion"/>
  </si>
  <si>
    <t>Travel</t>
    <phoneticPr fontId="6" type="noConversion"/>
  </si>
  <si>
    <t>Assessor fees, IPMA certificate fees, travel, etc.</t>
  </si>
  <si>
    <t>wire transfer fee</t>
    <phoneticPr fontId="6" type="noConversion"/>
  </si>
  <si>
    <t>Robert Donald</t>
    <phoneticPr fontId="6" type="noConversion"/>
  </si>
  <si>
    <t>David Cockburn</t>
    <phoneticPr fontId="6" type="noConversion"/>
  </si>
  <si>
    <t>bank thought it was CAD250</t>
    <phoneticPr fontId="6" type="noConversion"/>
  </si>
  <si>
    <t>It was really USD250</t>
    <phoneticPr fontId="6" type="noConversion"/>
  </si>
  <si>
    <t>9D</t>
    <phoneticPr fontId="6" type="noConversion"/>
  </si>
  <si>
    <t>3A, 12D</t>
    <phoneticPr fontId="6" type="noConversion"/>
  </si>
  <si>
    <t>Code</t>
  </si>
  <si>
    <t>BMO</t>
    <phoneticPr fontId="6" type="noConversion"/>
  </si>
  <si>
    <t>Certification</t>
    <phoneticPr fontId="6" type="noConversion"/>
  </si>
  <si>
    <t>N/A</t>
    <phoneticPr fontId="6" type="noConversion"/>
  </si>
  <si>
    <t>Grant Kerr;  chq#26</t>
    <phoneticPr fontId="6" type="noConversion"/>
  </si>
  <si>
    <t>BMO</t>
    <phoneticPr fontId="6" type="noConversion"/>
  </si>
  <si>
    <t>Interest</t>
    <phoneticPr fontId="6" type="noConversion"/>
  </si>
  <si>
    <t>Receiver General of Canada; chq#27</t>
    <phoneticPr fontId="6" type="noConversion"/>
  </si>
  <si>
    <t>BMO</t>
    <phoneticPr fontId="6" type="noConversion"/>
  </si>
  <si>
    <t>Certifications – IPMA-B Assessor fee</t>
    <phoneticPr fontId="6" type="noConversion"/>
  </si>
  <si>
    <t>Certifications – IPMA-D Cert fee</t>
  </si>
  <si>
    <t>Certifications – IPMA-D Assessor fee</t>
  </si>
  <si>
    <t>Certifications – IPMA-PMC Assessor fee</t>
    <phoneticPr fontId="6" type="noConversion"/>
  </si>
  <si>
    <t>Certifications – IPMA-A income</t>
    <phoneticPr fontId="6" type="noConversion"/>
  </si>
  <si>
    <t>Certifications – IPMA-A Cert fee</t>
    <phoneticPr fontId="6" type="noConversion"/>
  </si>
  <si>
    <t>Corporations Canada</t>
  </si>
  <si>
    <t>IPMA MA fee</t>
  </si>
  <si>
    <t>Total Assets</t>
  </si>
  <si>
    <t>Webmaster</t>
  </si>
  <si>
    <t>Assets</t>
  </si>
  <si>
    <t>Kevin</t>
  </si>
  <si>
    <t>IPMA Certification - PMC</t>
    <phoneticPr fontId="6" type="noConversion"/>
  </si>
  <si>
    <t>IPMA Certification - PPMC</t>
    <phoneticPr fontId="6" type="noConversion"/>
  </si>
  <si>
    <t>IPMA membership fee (510 members)</t>
    <phoneticPr fontId="6" type="noConversion"/>
  </si>
  <si>
    <t>1*?</t>
    <phoneticPr fontId="6" type="noConversion"/>
  </si>
  <si>
    <t>Certifications – IPMA-B Income</t>
    <phoneticPr fontId="6" type="noConversion"/>
  </si>
  <si>
    <t>South East Local Health Integration Network (for x &amp; y)</t>
    <phoneticPr fontId="6" type="noConversion"/>
  </si>
  <si>
    <t>Membership renewal</t>
    <phoneticPr fontId="6" type="noConversion"/>
  </si>
  <si>
    <t>NOTE:  $934.93 cheque #025 of 31Dec2012 to Morley Selver was cleared 22Jan2013</t>
    <phoneticPr fontId="6" type="noConversion"/>
  </si>
  <si>
    <t>Membership Package labour (8 mins/pkg fillout/print/mail @100/hr)</t>
  </si>
  <si>
    <t>Certifications – IPMA-C Income</t>
    <phoneticPr fontId="6" type="noConversion"/>
  </si>
  <si>
    <t>Certifications – IPMA-D Income</t>
    <phoneticPr fontId="6" type="noConversion"/>
  </si>
  <si>
    <t>Certifications – IPMA-PMC Income</t>
    <phoneticPr fontId="6" type="noConversion"/>
  </si>
  <si>
    <t>Certifications – IPMA-PPMC Income</t>
    <phoneticPr fontId="6" type="noConversion"/>
  </si>
  <si>
    <t>David Whelbourn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</si>
  <si>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</si>
  <si>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</si>
  <si>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</si>
  <si>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Olabode Ewumi</t>
    <phoneticPr fontId="6" type="noConversion"/>
  </si>
  <si>
    <t>CIBC</t>
    <phoneticPr fontId="6" type="noConversion"/>
  </si>
  <si>
    <t>June Lin</t>
    <phoneticPr fontId="6" type="noConversion"/>
  </si>
  <si>
    <t>PayPal</t>
    <phoneticPr fontId="6" type="noConversion"/>
  </si>
  <si>
    <t>Cert.APM fee</t>
    <phoneticPr fontId="6" type="noConversion"/>
  </si>
  <si>
    <t>Certifications – PMAC Cert.APM Income</t>
    <phoneticPr fontId="6" type="noConversion"/>
  </si>
  <si>
    <t>PayPal Transaction Fee</t>
    <phoneticPr fontId="6" type="noConversion"/>
  </si>
  <si>
    <t>Bank Charges</t>
    <phoneticPr fontId="6" type="noConversion"/>
  </si>
  <si>
    <t>Robyn Furmanic</t>
    <phoneticPr fontId="6" type="noConversion"/>
  </si>
  <si>
    <t>Ambidexter Management Inc.</t>
    <phoneticPr fontId="6" type="noConversion"/>
  </si>
  <si>
    <t>Eric Ramsden</t>
    <phoneticPr fontId="6" type="noConversion"/>
  </si>
  <si>
    <t>BMO</t>
    <phoneticPr fontId="6" type="noConversion"/>
  </si>
  <si>
    <t>Interest</t>
    <phoneticPr fontId="6" type="noConversion"/>
  </si>
  <si>
    <t>JobWings.com</t>
    <phoneticPr fontId="6" type="noConversion"/>
  </si>
  <si>
    <t>for Job Postings</t>
    <phoneticPr fontId="6" type="noConversion"/>
  </si>
  <si>
    <t>Website</t>
    <phoneticPr fontId="6" type="noConversion"/>
  </si>
  <si>
    <t>Proportion Training for Vienna Yeung</t>
    <phoneticPr fontId="6" type="noConversion"/>
  </si>
  <si>
    <t>Level D exam fee</t>
    <phoneticPr fontId="6" type="noConversion"/>
  </si>
  <si>
    <t>Certifications – IPMA-D Income</t>
  </si>
  <si>
    <t>Certifications – IPMA-D Income</t>
    <phoneticPr fontId="6" type="noConversion"/>
  </si>
  <si>
    <t>Certifications – PMAC Cert.APM Assessor fee</t>
    <phoneticPr fontId="6" type="noConversion"/>
  </si>
  <si>
    <t>Certifications – PMAC EPC Income</t>
    <phoneticPr fontId="6" type="noConversion"/>
  </si>
  <si>
    <t>Certifications – PMAC Thinking Assessor fee</t>
    <phoneticPr fontId="6" type="noConversion"/>
  </si>
  <si>
    <t>Darin Pawsey</t>
    <phoneticPr fontId="6" type="noConversion"/>
  </si>
  <si>
    <t>Critical &amp; Structured Thinking Exam fee</t>
    <phoneticPr fontId="6" type="noConversion"/>
  </si>
  <si>
    <t>PayPal</t>
    <phoneticPr fontId="6" type="noConversion"/>
  </si>
  <si>
    <t>Certifications – PMAC Thinking Income</t>
  </si>
  <si>
    <t>Richard Crockett</t>
    <phoneticPr fontId="6" type="noConversion"/>
  </si>
  <si>
    <t>Cert.APM fee</t>
    <phoneticPr fontId="6" type="noConversion"/>
  </si>
  <si>
    <t>Certifications – PMAC Cert.APM Income</t>
    <phoneticPr fontId="6" type="noConversion"/>
  </si>
  <si>
    <t>Debbie Turner</t>
    <phoneticPr fontId="6" type="noConversion"/>
  </si>
  <si>
    <t>Membership</t>
    <phoneticPr fontId="6" type="noConversion"/>
  </si>
  <si>
    <t>Membership</t>
    <phoneticPr fontId="6" type="noConversion"/>
  </si>
  <si>
    <t>Bank</t>
    <phoneticPr fontId="6" type="noConversion"/>
  </si>
  <si>
    <t>Certifications – PMAC Thinking Assessor fee</t>
    <phoneticPr fontId="6" type="noConversion"/>
  </si>
  <si>
    <t>Income Statement - Member Association (without CB)</t>
    <phoneticPr fontId="6" type="noConversion"/>
  </si>
  <si>
    <t>January 1, 2012 - December 31, 2012</t>
    <phoneticPr fontId="6" type="noConversion"/>
  </si>
  <si>
    <t>Incorporation</t>
    <phoneticPr fontId="6" type="noConversion"/>
  </si>
  <si>
    <t>Website</t>
    <phoneticPr fontId="6" type="noConversion"/>
  </si>
  <si>
    <t>Supplies</t>
    <phoneticPr fontId="6" type="noConversion"/>
  </si>
  <si>
    <t>Unknown</t>
    <phoneticPr fontId="6" type="noConversion"/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</si>
</sst>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_);_(* \(#,##0.00\);_(* &quot;-&quot;??_);_(@_)"/>
    <numFmt numFmtId="165" formatCode="_-\$* #,##0.00_-;&quot;-$&quot;* #,##0.00_-;_-\$* \-??_-;_-@_-"/>
    <numFmt numFmtId="166" formatCode="_-\$* #,##0_-;&quot;-$&quot;* #,##0_-;_-\$* \-??_-;_-@_-"/>
  </numFmts>
  <fonts count="11">
    <font>
      <sz val="10"/>
      <name val="Hiragino Kaku Gothic ProN W3"/>
      <family val="2"/>
    </font>
    <font>
      <sz val="10"/>
      <name val="Arial"/>
      <family val="2"/>
    </font>
    <font>
      <sz val="10"/>
      <color indexed="8"/>
      <name val="Calibri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name val="Verdana"/>
    </font>
    <font>
      <sz val="10"/>
      <name val="Calibri"/>
    </font>
    <font>
      <sz val="10"/>
      <color indexed="8"/>
      <name val="Calibri"/>
    </font>
    <font>
      <sz val="12"/>
      <name val="Arial"/>
      <family val="2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5" fontId="2" fillId="0" borderId="0"/>
    <xf numFmtId="0" fontId="2" fillId="0" borderId="0"/>
  </cellStyleXfs>
  <cellXfs count="82">
    <xf numFmtId="0" fontId="0" fillId="0" borderId="0" xfId="0"/>
    <xf numFmtId="0" fontId="2" fillId="0" borderId="0" xfId="3"/>
    <xf numFmtId="2" fontId="2" fillId="0" borderId="0" xfId="3" applyNumberFormat="1"/>
    <xf numFmtId="0" fontId="5" fillId="2" borderId="1" xfId="3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/>
    </xf>
    <xf numFmtId="16" fontId="2" fillId="0" borderId="0" xfId="3" applyNumberFormat="1"/>
    <xf numFmtId="0" fontId="2" fillId="0" borderId="0" xfId="3" applyFont="1"/>
    <xf numFmtId="0" fontId="2" fillId="0" borderId="0" xfId="3" applyFont="1" applyFill="1"/>
    <xf numFmtId="0" fontId="2" fillId="2" borderId="1" xfId="3" applyFill="1" applyBorder="1"/>
    <xf numFmtId="2" fontId="5" fillId="2" borderId="1" xfId="3" applyNumberFormat="1" applyFont="1" applyFill="1" applyBorder="1" applyAlignment="1">
      <alignment horizontal="right"/>
    </xf>
    <xf numFmtId="2" fontId="2" fillId="2" borderId="1" xfId="3" applyNumberFormat="1" applyFill="1" applyBorder="1"/>
    <xf numFmtId="0" fontId="5" fillId="0" borderId="0" xfId="3" applyFont="1"/>
    <xf numFmtId="0" fontId="2" fillId="0" borderId="0" xfId="3" applyFont="1" applyFill="1" applyBorder="1"/>
    <xf numFmtId="0" fontId="0" fillId="0" borderId="0" xfId="0" applyAlignment="1">
      <alignment horizontal="left"/>
    </xf>
    <xf numFmtId="0" fontId="2" fillId="0" borderId="0" xfId="3" applyAlignment="1">
      <alignment horizontal="left"/>
    </xf>
    <xf numFmtId="0" fontId="4" fillId="2" borderId="0" xfId="3" applyFont="1" applyFill="1"/>
    <xf numFmtId="0" fontId="2" fillId="2" borderId="0" xfId="3" applyFill="1"/>
    <xf numFmtId="0" fontId="3" fillId="0" borderId="0" xfId="0" applyFont="1"/>
    <xf numFmtId="0" fontId="3" fillId="0" borderId="0" xfId="3" applyFont="1"/>
    <xf numFmtId="3" fontId="2" fillId="0" borderId="0" xfId="3" applyNumberFormat="1"/>
    <xf numFmtId="3" fontId="2" fillId="0" borderId="2" xfId="3" applyNumberFormat="1" applyBorder="1"/>
    <xf numFmtId="3" fontId="2" fillId="0" borderId="3" xfId="3" applyNumberFormat="1" applyBorder="1"/>
    <xf numFmtId="0" fontId="5" fillId="2" borderId="4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2" fontId="2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166" fontId="5" fillId="0" borderId="6" xfId="2" applyNumberFormat="1" applyFont="1" applyBorder="1"/>
    <xf numFmtId="0" fontId="2" fillId="2" borderId="0" xfId="3" applyFont="1" applyFill="1"/>
    <xf numFmtId="0" fontId="2" fillId="0" borderId="0" xfId="0" applyFont="1"/>
    <xf numFmtId="0" fontId="7" fillId="0" borderId="0" xfId="0" applyFont="1"/>
    <xf numFmtId="16" fontId="2" fillId="0" borderId="0" xfId="3" applyNumberFormat="1" applyFont="1"/>
    <xf numFmtId="0" fontId="8" fillId="0" borderId="0" xfId="3" applyFont="1"/>
    <xf numFmtId="0" fontId="8" fillId="0" borderId="0" xfId="3" applyFont="1" applyFill="1"/>
    <xf numFmtId="164" fontId="7" fillId="0" borderId="3" xfId="1" applyFont="1" applyBorder="1"/>
    <xf numFmtId="164" fontId="7" fillId="0" borderId="0" xfId="1" applyFont="1"/>
    <xf numFmtId="164" fontId="7" fillId="2" borderId="1" xfId="1" applyFont="1" applyFill="1" applyBorder="1" applyAlignment="1">
      <alignment horizontal="right"/>
    </xf>
    <xf numFmtId="164" fontId="7" fillId="0" borderId="2" xfId="1" applyFont="1" applyBorder="1"/>
    <xf numFmtId="4" fontId="2" fillId="0" borderId="0" xfId="3" applyNumberFormat="1"/>
    <xf numFmtId="4" fontId="2" fillId="0" borderId="0" xfId="3" applyNumberFormat="1" applyFill="1"/>
    <xf numFmtId="4" fontId="2" fillId="0" borderId="0" xfId="0" applyNumberFormat="1" applyFont="1"/>
    <xf numFmtId="4" fontId="7" fillId="0" borderId="3" xfId="1" applyNumberFormat="1" applyFont="1" applyBorder="1"/>
    <xf numFmtId="4" fontId="2" fillId="0" borderId="0" xfId="3" applyNumberFormat="1" applyFont="1"/>
    <xf numFmtId="0" fontId="9" fillId="0" borderId="0" xfId="0" applyFont="1"/>
    <xf numFmtId="2" fontId="10" fillId="0" borderId="8" xfId="0" applyNumberFormat="1" applyFont="1" applyBorder="1"/>
    <xf numFmtId="0" fontId="9" fillId="4" borderId="0" xfId="0" applyFont="1" applyFill="1"/>
    <xf numFmtId="0" fontId="0" fillId="3" borderId="0" xfId="0" applyFill="1"/>
    <xf numFmtId="0" fontId="9" fillId="0" borderId="0" xfId="0" applyFont="1" applyFill="1"/>
    <xf numFmtId="0" fontId="2" fillId="0" borderId="0" xfId="0" applyFont="1"/>
    <xf numFmtId="0" fontId="2" fillId="0" borderId="0" xfId="0" applyFont="1"/>
    <xf numFmtId="0" fontId="5" fillId="2" borderId="1" xfId="3" applyFont="1" applyFill="1" applyBorder="1" applyAlignment="1">
      <alignment horizontal="center"/>
    </xf>
    <xf numFmtId="15" fontId="7" fillId="0" borderId="0" xfId="0" applyNumberFormat="1" applyFont="1"/>
    <xf numFmtId="0" fontId="2" fillId="0" borderId="0" xfId="0" applyFont="1"/>
    <xf numFmtId="0" fontId="2" fillId="0" borderId="0" xfId="0" applyFont="1"/>
    <xf numFmtId="0" fontId="2" fillId="0" borderId="0" xfId="0" applyFont="1"/>
    <xf numFmtId="164" fontId="7" fillId="0" borderId="0" xfId="0" applyNumberFormat="1" applyFont="1"/>
    <xf numFmtId="164" fontId="2" fillId="0" borderId="0" xfId="3" applyNumberFormat="1"/>
    <xf numFmtId="2" fontId="5" fillId="0" borderId="0" xfId="3" applyNumberFormat="1" applyFont="1"/>
    <xf numFmtId="164" fontId="2" fillId="0" borderId="0" xfId="3" applyNumberFormat="1" applyFont="1"/>
    <xf numFmtId="1" fontId="2" fillId="0" borderId="0" xfId="3" applyNumberFormat="1"/>
    <xf numFmtId="0" fontId="2" fillId="0" borderId="0" xfId="3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0" applyFont="1"/>
    <xf numFmtId="0" fontId="2" fillId="3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3" fillId="2" borderId="0" xfId="3" applyFont="1" applyFill="1" applyBorder="1" applyAlignment="1">
      <alignment horizontal="left" wrapText="1"/>
    </xf>
    <xf numFmtId="0" fontId="2" fillId="0" borderId="0" xfId="0" applyFont="1"/>
    <xf numFmtId="0" fontId="3" fillId="2" borderId="0" xfId="3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3" borderId="11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Excel Built-in Normal" xfId="3"/>
    <cellStyle name="Normal" xfId="0" builtinId="0"/>
  </cellStyles>
  <dxfs count="19"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7F7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7FD7A7"/>
      <rgbColor rgb="00FF996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 lang="en-CA"/>
            </a:pPr>
            <a:r>
              <a:rPr lang="en-CA" sz="1800" b="1">
                <a:latin typeface="+mn-lt"/>
              </a:rPr>
              <a:t>Total Income &amp; Expenses</a:t>
            </a:r>
          </a:p>
        </c:rich>
      </c:tx>
    </c:title>
    <c:plotArea>
      <c:layout/>
      <c:barChart>
        <c:barDir val="col"/>
        <c:grouping val="stacked"/>
        <c:ser>
          <c:idx val="2"/>
          <c:order val="0"/>
          <c:spPr>
            <a:ln>
              <a:noFill/>
            </a:ln>
            <a:effectLst/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Historical!$C$2:$C$7</c:f>
              <c:numCache>
                <c:formatCode>General</c:formatCode>
                <c:ptCount val="6"/>
                <c:pt idx="0">
                  <c:v>1124.62</c:v>
                </c:pt>
                <c:pt idx="1">
                  <c:v>174.59</c:v>
                </c:pt>
                <c:pt idx="2">
                  <c:v>5442.02</c:v>
                </c:pt>
                <c:pt idx="3">
                  <c:v>17819.9</c:v>
                </c:pt>
                <c:pt idx="4">
                  <c:v>27839.43</c:v>
                </c:pt>
                <c:pt idx="5">
                  <c:v>13411.94</c:v>
                </c:pt>
              </c:numCache>
            </c:numRef>
          </c:val>
        </c:ser>
        <c:ser>
          <c:idx val="3"/>
          <c:order val="1"/>
          <c:spPr>
            <a:ln>
              <a:noFill/>
            </a:ln>
            <a:effectLst/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Historical!$D$2:$D$7</c:f>
              <c:numCache>
                <c:formatCode>General</c:formatCode>
                <c:ptCount val="6"/>
                <c:pt idx="0">
                  <c:v>-9.24</c:v>
                </c:pt>
                <c:pt idx="1">
                  <c:v>-87.45</c:v>
                </c:pt>
                <c:pt idx="2">
                  <c:v>-5416.22</c:v>
                </c:pt>
                <c:pt idx="3">
                  <c:v>-11386.49</c:v>
                </c:pt>
                <c:pt idx="4">
                  <c:v>-14749.05</c:v>
                </c:pt>
                <c:pt idx="5">
                  <c:v>-15765.29</c:v>
                </c:pt>
              </c:numCache>
            </c:numRef>
          </c:val>
        </c:ser>
        <c:overlap val="100"/>
        <c:axId val="242885720"/>
        <c:axId val="242889192"/>
      </c:barChart>
      <c:catAx>
        <c:axId val="2428857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242889192"/>
        <c:crosses val="autoZero"/>
        <c:auto val="1"/>
        <c:lblAlgn val="ctr"/>
        <c:lblOffset val="100"/>
      </c:catAx>
      <c:valAx>
        <c:axId val="24288919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0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242885720"/>
        <c:crosses val="autoZero"/>
        <c:crossBetween val="between"/>
      </c:valAx>
    </c:plotArea>
    <c:legend>
      <c:legendPos val="b"/>
      <c:txPr>
        <a:bodyPr/>
        <a:lstStyle/>
        <a:p>
          <a:pPr>
            <a:defRPr lang="en-CA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Pr>
        <a:bodyPr/>
        <a:lstStyle/>
        <a:p>
          <a:pPr>
            <a:defRPr lang="en-CA"/>
          </a:pPr>
          <a:endParaRPr lang="en-US"/>
        </a:p>
      </c:txPr>
    </c:title>
    <c:plotArea>
      <c:layout/>
      <c:barChart>
        <c:barDir val="col"/>
        <c:grouping val="stacked"/>
        <c:ser>
          <c:idx val="0"/>
          <c:order val="0"/>
          <c:tx>
            <c:strRef>
              <c:f>Historical!$B$1</c:f>
              <c:strCache>
                <c:ptCount val="1"/>
                <c:pt idx="0">
                  <c:v>Assets</c:v>
                </c:pt>
              </c:strCache>
            </c:strRef>
          </c:tx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Historical!$B$2:$B$7</c:f>
              <c:numCache>
                <c:formatCode>General</c:formatCode>
                <c:ptCount val="6"/>
                <c:pt idx="0" formatCode="0.00">
                  <c:v>1115.38</c:v>
                </c:pt>
                <c:pt idx="1">
                  <c:v>1202.52</c:v>
                </c:pt>
                <c:pt idx="2">
                  <c:v>1228.32</c:v>
                </c:pt>
                <c:pt idx="3">
                  <c:v>7661.73</c:v>
                </c:pt>
                <c:pt idx="4">
                  <c:v>20752.11</c:v>
                </c:pt>
                <c:pt idx="5">
                  <c:v>18398.85</c:v>
                </c:pt>
              </c:numCache>
            </c:numRef>
          </c:val>
        </c:ser>
        <c:gapWidth val="75"/>
        <c:overlap val="100"/>
        <c:axId val="242908856"/>
        <c:axId val="242912088"/>
      </c:barChart>
      <c:catAx>
        <c:axId val="242908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242912088"/>
        <c:crosses val="autoZero"/>
        <c:auto val="1"/>
        <c:lblAlgn val="ctr"/>
        <c:lblOffset val="100"/>
      </c:catAx>
      <c:valAx>
        <c:axId val="242912088"/>
        <c:scaling>
          <c:orientation val="minMax"/>
        </c:scaling>
        <c:axPos val="l"/>
        <c:majorGridlines/>
        <c:numFmt formatCode="&quot;$&quot;#,##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242908856"/>
        <c:crosses val="autoZero"/>
        <c:crossBetween val="between"/>
      </c:valAx>
    </c:plotArea>
    <c:legend>
      <c:legendPos val="b"/>
      <c:txPr>
        <a:bodyPr/>
        <a:lstStyle/>
        <a:p>
          <a:pPr>
            <a:defRPr lang="en-CA"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lang="en-CA"/>
            </a:pPr>
            <a:r>
              <a:rPr lang="en-CA"/>
              <a:t>Net</a:t>
            </a:r>
            <a:r>
              <a:rPr lang="en-CA" baseline="0"/>
              <a:t> Income &amp; Expenses</a:t>
            </a:r>
            <a:endParaRPr lang="en-CA"/>
          </a:p>
        </c:rich>
      </c:tx>
    </c:title>
    <c:plotArea>
      <c:layout/>
      <c:barChart>
        <c:barDir val="col"/>
        <c:grouping val="stacked"/>
        <c:ser>
          <c:idx val="3"/>
          <c:order val="0"/>
          <c:tx>
            <c:strRef>
              <c:f>Historical!$I$1</c:f>
              <c:strCache>
                <c:ptCount val="1"/>
                <c:pt idx="0">
                  <c:v>IPMA fee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Historical!$I$2:$I$7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-2064.89</c:v>
                </c:pt>
                <c:pt idx="3">
                  <c:v>-2381.54</c:v>
                </c:pt>
                <c:pt idx="4">
                  <c:v>-3055.32</c:v>
                </c:pt>
                <c:pt idx="5">
                  <c:v>-4500.0</c:v>
                </c:pt>
              </c:numCache>
            </c:numRef>
          </c:val>
        </c:ser>
        <c:ser>
          <c:idx val="4"/>
          <c:order val="1"/>
          <c:tx>
            <c:strRef>
              <c:f>Historical!$J$1</c:f>
              <c:strCache>
                <c:ptCount val="1"/>
                <c:pt idx="0">
                  <c:v>Advert (net)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Historical!$J$2:$J$7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-2362.9</c:v>
                </c:pt>
                <c:pt idx="4">
                  <c:v>-1639.24</c:v>
                </c:pt>
                <c:pt idx="5">
                  <c:v>0.0</c:v>
                </c:pt>
              </c:numCache>
            </c:numRef>
          </c:val>
        </c:ser>
        <c:ser>
          <c:idx val="0"/>
          <c:order val="2"/>
          <c:tx>
            <c:strRef>
              <c:f>Historical!$F$1</c:f>
              <c:strCache>
                <c:ptCount val="1"/>
                <c:pt idx="0">
                  <c:v>Membership (net)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Historical!$F$2:$F$7</c:f>
              <c:numCache>
                <c:formatCode>General</c:formatCode>
                <c:ptCount val="6"/>
                <c:pt idx="0">
                  <c:v>400.0</c:v>
                </c:pt>
                <c:pt idx="1">
                  <c:v>80.0</c:v>
                </c:pt>
                <c:pt idx="2">
                  <c:v>1284.0</c:v>
                </c:pt>
                <c:pt idx="3">
                  <c:v>4068.0</c:v>
                </c:pt>
                <c:pt idx="4">
                  <c:v>3565.0</c:v>
                </c:pt>
                <c:pt idx="5">
                  <c:v>5080.0</c:v>
                </c:pt>
              </c:numCache>
            </c:numRef>
          </c:val>
        </c:ser>
        <c:ser>
          <c:idx val="1"/>
          <c:order val="3"/>
          <c:tx>
            <c:strRef>
              <c:f>Historical!$G$1</c:f>
              <c:strCache>
                <c:ptCount val="1"/>
                <c:pt idx="0">
                  <c:v>Cert-PMAC (net)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Historical!$G$2:$G$7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1200.0</c:v>
                </c:pt>
                <c:pt idx="3">
                  <c:v>6118.6</c:v>
                </c:pt>
                <c:pt idx="4">
                  <c:v>11990.0</c:v>
                </c:pt>
                <c:pt idx="5">
                  <c:v>3772.0</c:v>
                </c:pt>
              </c:numCache>
            </c:numRef>
          </c:val>
        </c:ser>
        <c:ser>
          <c:idx val="2"/>
          <c:order val="4"/>
          <c:tx>
            <c:strRef>
              <c:f>Historical!$H$1</c:f>
              <c:strCache>
                <c:ptCount val="1"/>
                <c:pt idx="0">
                  <c:v>Cert-4LC (net)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Historical!$H$2:$H$7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1283.34</c:v>
                </c:pt>
                <c:pt idx="4">
                  <c:v>478.59</c:v>
                </c:pt>
                <c:pt idx="5">
                  <c:v>-5299.0</c:v>
                </c:pt>
              </c:numCache>
            </c:numRef>
          </c:val>
        </c:ser>
        <c:ser>
          <c:idx val="5"/>
          <c:order val="5"/>
          <c:tx>
            <c:strRef>
              <c:f>Historical!$K$1</c:f>
              <c:strCache>
                <c:ptCount val="1"/>
                <c:pt idx="0">
                  <c:v>Other Inc (net)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Historical!$A$2:$A$7</c:f>
              <c:numCache>
                <c:formatCode>General</c:formatCode>
                <c:ptCount val="6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</c:numCache>
            </c:numRef>
          </c:cat>
          <c:val>
            <c:numRef>
              <c:f>Historical!$K$2:$K$7</c:f>
              <c:numCache>
                <c:formatCode>General</c:formatCode>
                <c:ptCount val="6"/>
                <c:pt idx="0">
                  <c:v>715.3799999999999</c:v>
                </c:pt>
                <c:pt idx="1">
                  <c:v>7.140000000000001</c:v>
                </c:pt>
                <c:pt idx="2">
                  <c:v>-393.3099999999999</c:v>
                </c:pt>
                <c:pt idx="3">
                  <c:v>-292.0899999999988</c:v>
                </c:pt>
                <c:pt idx="4">
                  <c:v>1751.350000000001</c:v>
                </c:pt>
                <c:pt idx="5">
                  <c:v>-1406.35</c:v>
                </c:pt>
              </c:numCache>
            </c:numRef>
          </c:val>
        </c:ser>
        <c:overlap val="100"/>
        <c:axId val="242968120"/>
        <c:axId val="242971368"/>
      </c:barChart>
      <c:catAx>
        <c:axId val="242968120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lang="en-CA"/>
            </a:pPr>
            <a:endParaRPr lang="en-US"/>
          </a:p>
        </c:txPr>
        <c:crossAx val="242971368"/>
        <c:crosses val="autoZero"/>
        <c:auto val="1"/>
        <c:lblAlgn val="ctr"/>
        <c:lblOffset val="100"/>
      </c:catAx>
      <c:valAx>
        <c:axId val="24297136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24296812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CA"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10</xdr:row>
      <xdr:rowOff>76200</xdr:rowOff>
    </xdr:from>
    <xdr:to>
      <xdr:col>10</xdr:col>
      <xdr:colOff>314325</xdr:colOff>
      <xdr:row>24</xdr:row>
      <xdr:rowOff>152400</xdr:rowOff>
    </xdr:to>
    <xdr:graphicFrame macro="">
      <xdr:nvGraphicFramePr>
        <xdr:cNvPr id="14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10</xdr:row>
      <xdr:rowOff>76200</xdr:rowOff>
    </xdr:from>
    <xdr:to>
      <xdr:col>5</xdr:col>
      <xdr:colOff>133350</xdr:colOff>
      <xdr:row>24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666750</xdr:colOff>
      <xdr:row>10</xdr:row>
      <xdr:rowOff>95250</xdr:rowOff>
    </xdr:from>
    <xdr:to>
      <xdr:col>17</xdr:col>
      <xdr:colOff>238125</xdr:colOff>
      <xdr:row>24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1"/>
  <sheetViews>
    <sheetView zoomScale="125" workbookViewId="0">
      <selection activeCell="A28" sqref="A28"/>
    </sheetView>
  </sheetViews>
  <sheetFormatPr baseColWidth="10" defaultColWidth="11.42578125" defaultRowHeight="15"/>
  <cols>
    <col min="2" max="2" width="28" customWidth="1"/>
  </cols>
  <sheetData>
    <row r="1" spans="1:9" ht="35" customHeight="1">
      <c r="A1" s="68" t="s">
        <v>168</v>
      </c>
      <c r="B1" s="68"/>
      <c r="C1" s="68"/>
      <c r="D1" s="68"/>
      <c r="E1" s="68"/>
      <c r="F1" s="68"/>
      <c r="G1" s="68"/>
      <c r="H1" s="68"/>
      <c r="I1" s="68"/>
    </row>
    <row r="2" spans="1:9">
      <c r="B2">
        <v>1.5</v>
      </c>
      <c r="C2" s="25" t="s">
        <v>235</v>
      </c>
      <c r="D2" s="25" t="s">
        <v>198</v>
      </c>
      <c r="E2" t="s">
        <v>193</v>
      </c>
    </row>
    <row r="3" spans="1:9">
      <c r="A3" t="s">
        <v>391</v>
      </c>
      <c r="B3" t="s">
        <v>481</v>
      </c>
      <c r="C3">
        <v>5080</v>
      </c>
      <c r="D3">
        <f t="shared" ref="D3:D11" si="0">C3*$B$2</f>
        <v>7620</v>
      </c>
      <c r="E3">
        <v>7082</v>
      </c>
    </row>
    <row r="4" spans="1:9">
      <c r="B4" t="s">
        <v>257</v>
      </c>
      <c r="C4">
        <v>800</v>
      </c>
      <c r="D4">
        <f t="shared" si="0"/>
        <v>1200</v>
      </c>
    </row>
    <row r="5" spans="1:9">
      <c r="B5" t="s">
        <v>102</v>
      </c>
      <c r="C5">
        <f>20*30</f>
        <v>600</v>
      </c>
      <c r="D5">
        <f t="shared" si="0"/>
        <v>900</v>
      </c>
    </row>
    <row r="6" spans="1:9">
      <c r="B6" t="s">
        <v>418</v>
      </c>
      <c r="C6">
        <f>6*82</f>
        <v>492</v>
      </c>
      <c r="D6">
        <f t="shared" si="0"/>
        <v>738</v>
      </c>
    </row>
    <row r="7" spans="1:9">
      <c r="B7" t="s">
        <v>204</v>
      </c>
      <c r="C7">
        <f>5*66</f>
        <v>330</v>
      </c>
      <c r="D7">
        <f t="shared" si="0"/>
        <v>495</v>
      </c>
    </row>
    <row r="8" spans="1:9">
      <c r="B8" t="s">
        <v>281</v>
      </c>
      <c r="C8">
        <f>3*82</f>
        <v>246</v>
      </c>
      <c r="D8">
        <f t="shared" si="0"/>
        <v>369</v>
      </c>
    </row>
    <row r="9" spans="1:9">
      <c r="B9" t="s">
        <v>479</v>
      </c>
      <c r="C9" t="s">
        <v>482</v>
      </c>
    </row>
    <row r="10" spans="1:9">
      <c r="B10" t="s">
        <v>480</v>
      </c>
      <c r="C10" t="s">
        <v>482</v>
      </c>
    </row>
    <row r="11" spans="1:9">
      <c r="B11" t="s">
        <v>234</v>
      </c>
      <c r="D11">
        <f t="shared" si="0"/>
        <v>0</v>
      </c>
    </row>
    <row r="12" spans="1:9">
      <c r="B12" t="s">
        <v>445</v>
      </c>
      <c r="C12">
        <v>0</v>
      </c>
      <c r="D12">
        <v>0</v>
      </c>
    </row>
    <row r="13" spans="1:9">
      <c r="B13" t="s">
        <v>446</v>
      </c>
      <c r="C13">
        <v>0</v>
      </c>
      <c r="D13">
        <v>0</v>
      </c>
    </row>
    <row r="14" spans="1:9">
      <c r="B14" t="s">
        <v>358</v>
      </c>
      <c r="C14">
        <v>0</v>
      </c>
      <c r="D14">
        <v>0</v>
      </c>
    </row>
    <row r="15" spans="1:9" ht="16" thickBot="1">
      <c r="D15" s="26">
        <f>SUM(D3:D14)</f>
        <v>11322</v>
      </c>
    </row>
    <row r="16" spans="1:9" ht="16" thickTop="1">
      <c r="B16" t="s">
        <v>359</v>
      </c>
    </row>
    <row r="18" spans="1:3">
      <c r="A18" s="45" t="s">
        <v>303</v>
      </c>
    </row>
    <row r="19" spans="1:3">
      <c r="A19" s="69" t="s">
        <v>40</v>
      </c>
      <c r="B19" s="69"/>
      <c r="C19" s="69"/>
    </row>
    <row r="20" spans="1:3">
      <c r="A20" s="69" t="s">
        <v>486</v>
      </c>
      <c r="B20" s="69"/>
      <c r="C20" s="69"/>
    </row>
    <row r="21" spans="1:3">
      <c r="A21" s="53"/>
      <c r="B21" s="53"/>
      <c r="C21" s="53"/>
    </row>
    <row r="22" spans="1:3">
      <c r="A22" s="62" t="s">
        <v>228</v>
      </c>
      <c r="B22" s="53"/>
      <c r="C22" s="53"/>
    </row>
    <row r="24" spans="1:3">
      <c r="A24" t="s">
        <v>360</v>
      </c>
    </row>
    <row r="25" spans="1:3">
      <c r="B25" t="s">
        <v>243</v>
      </c>
    </row>
    <row r="26" spans="1:3">
      <c r="B26" t="s">
        <v>352</v>
      </c>
    </row>
    <row r="27" spans="1:3">
      <c r="B27" t="s">
        <v>171</v>
      </c>
    </row>
    <row r="29" spans="1:3">
      <c r="B29" t="s">
        <v>244</v>
      </c>
    </row>
    <row r="30" spans="1:3">
      <c r="B30" t="s">
        <v>197</v>
      </c>
    </row>
    <row r="31" spans="1:3">
      <c r="B31" t="s">
        <v>364</v>
      </c>
    </row>
    <row r="33" spans="1:2">
      <c r="B33" t="s">
        <v>256</v>
      </c>
    </row>
    <row r="34" spans="1:2">
      <c r="B34" t="s">
        <v>133</v>
      </c>
    </row>
    <row r="36" spans="1:2">
      <c r="B36" t="s">
        <v>378</v>
      </c>
    </row>
    <row r="37" spans="1:2">
      <c r="B37" t="s">
        <v>142</v>
      </c>
    </row>
    <row r="39" spans="1:2">
      <c r="A39" t="s">
        <v>354</v>
      </c>
    </row>
    <row r="40" spans="1:2">
      <c r="B40" t="s">
        <v>108</v>
      </c>
    </row>
    <row r="41" spans="1:2">
      <c r="B41" t="s">
        <v>147</v>
      </c>
    </row>
  </sheetData>
  <mergeCells count="3">
    <mergeCell ref="A1:I1"/>
    <mergeCell ref="A19:C19"/>
    <mergeCell ref="A20:C20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T322"/>
  <sheetViews>
    <sheetView tabSelected="1" zoomScale="125" zoomScaleNormal="125" zoomScaleSheetLayoutView="75" zoomScalePageLayoutView="125" workbookViewId="0">
      <selection activeCell="A6" sqref="A6"/>
    </sheetView>
  </sheetViews>
  <sheetFormatPr baseColWidth="10" defaultColWidth="6.85546875" defaultRowHeight="15"/>
  <cols>
    <col min="1" max="1" width="8" style="1" customWidth="1"/>
    <col min="2" max="2" width="9.7109375" style="2" customWidth="1"/>
    <col min="3" max="3" width="9.7109375" style="1" customWidth="1"/>
    <col min="4" max="4" width="9.7109375" style="2" customWidth="1"/>
    <col min="5" max="5" width="20.28515625" style="1" customWidth="1"/>
    <col min="6" max="6" width="21.5703125" style="1" customWidth="1"/>
    <col min="7" max="7" width="8.28515625" style="1" customWidth="1"/>
    <col min="8" max="8" width="21.7109375" style="1" customWidth="1"/>
    <col min="9" max="9" width="5.42578125" style="1" customWidth="1"/>
    <col min="10" max="254" width="7.42578125" style="1" customWidth="1"/>
  </cols>
  <sheetData>
    <row r="1" spans="1:254" ht="41" customHeight="1">
      <c r="A1" s="70" t="s">
        <v>168</v>
      </c>
      <c r="B1" s="70"/>
      <c r="C1" s="70"/>
      <c r="D1" s="70"/>
      <c r="E1" s="70"/>
      <c r="F1" s="70"/>
      <c r="G1" s="70"/>
      <c r="H1" s="70"/>
      <c r="I1" s="70"/>
    </row>
    <row r="2" spans="1:254">
      <c r="A2"/>
      <c r="B2"/>
      <c r="C2"/>
      <c r="D2"/>
      <c r="E2"/>
      <c r="F2"/>
      <c r="G2"/>
      <c r="H2"/>
    </row>
    <row r="3" spans="1:254">
      <c r="A3" s="71" t="s">
        <v>169</v>
      </c>
      <c r="B3" s="72"/>
      <c r="C3" s="72"/>
      <c r="D3" s="72"/>
      <c r="E3" s="72"/>
      <c r="F3" s="72"/>
      <c r="G3" s="72"/>
      <c r="H3" s="72"/>
      <c r="I3" s="7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>
      <c r="A4" s="74" t="s">
        <v>232</v>
      </c>
      <c r="B4" s="75"/>
      <c r="C4" s="75"/>
      <c r="D4" s="75"/>
      <c r="E4" s="75"/>
      <c r="F4" s="75"/>
      <c r="G4" s="75"/>
      <c r="H4" s="75"/>
      <c r="I4" s="76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2.75" customHeight="1">
      <c r="A5" s="3" t="s">
        <v>293</v>
      </c>
      <c r="B5" s="4" t="s">
        <v>294</v>
      </c>
      <c r="C5" s="3" t="s">
        <v>157</v>
      </c>
      <c r="D5" s="4" t="s">
        <v>158</v>
      </c>
      <c r="E5" s="3" t="s">
        <v>159</v>
      </c>
      <c r="F5" s="3" t="s">
        <v>160</v>
      </c>
      <c r="G5" s="3" t="s">
        <v>285</v>
      </c>
      <c r="H5" s="3" t="s">
        <v>444</v>
      </c>
      <c r="I5" s="3" t="s">
        <v>458</v>
      </c>
    </row>
    <row r="6" spans="1:254">
      <c r="A6" s="5">
        <v>39448</v>
      </c>
      <c r="B6" s="38">
        <v>5014.84</v>
      </c>
      <c r="C6" s="38"/>
      <c r="D6" s="37">
        <f>B6</f>
        <v>5014.84</v>
      </c>
      <c r="E6" s="1" t="s">
        <v>424</v>
      </c>
      <c r="F6" s="1" t="s">
        <v>424</v>
      </c>
      <c r="G6" s="6" t="s">
        <v>425</v>
      </c>
      <c r="H6" s="6" t="s">
        <v>201</v>
      </c>
      <c r="I6" s="1">
        <f>VLOOKUP($H6,$H$256:$I$308,2,0)</f>
        <v>90</v>
      </c>
    </row>
    <row r="7" spans="1:254">
      <c r="A7" s="5">
        <v>39448</v>
      </c>
      <c r="B7" s="37">
        <v>12449.08</v>
      </c>
      <c r="C7" s="37"/>
      <c r="D7" s="37">
        <f>D6+B7+C7</f>
        <v>17463.919999999998</v>
      </c>
      <c r="E7" s="1" t="s">
        <v>424</v>
      </c>
      <c r="F7" s="1" t="s">
        <v>424</v>
      </c>
      <c r="G7" s="6" t="s">
        <v>150</v>
      </c>
      <c r="H7" s="6" t="s">
        <v>201</v>
      </c>
      <c r="I7" s="1">
        <f>VLOOKUP($H7,$H$256:$I$308,2,0)</f>
        <v>90</v>
      </c>
    </row>
    <row r="8" spans="1:254">
      <c r="A8" s="5">
        <v>41280</v>
      </c>
      <c r="B8" s="37">
        <v>100</v>
      </c>
      <c r="C8" s="37"/>
      <c r="D8" s="37">
        <f t="shared" ref="D8:D122" si="0">D7+B8+C8</f>
        <v>17563.919999999998</v>
      </c>
      <c r="E8" s="6" t="s">
        <v>233</v>
      </c>
      <c r="F8" s="6" t="s">
        <v>255</v>
      </c>
      <c r="G8" s="6" t="s">
        <v>150</v>
      </c>
      <c r="H8" s="6" t="s">
        <v>151</v>
      </c>
      <c r="I8" s="1">
        <f>VLOOKUP($H8,$H$256:$I$308,2,0)</f>
        <v>16</v>
      </c>
    </row>
    <row r="9" spans="1:254">
      <c r="A9" s="5">
        <v>41280</v>
      </c>
      <c r="B9" s="37"/>
      <c r="C9" s="37">
        <v>-3.2</v>
      </c>
      <c r="D9" s="37">
        <f t="shared" si="0"/>
        <v>17560.719999999998</v>
      </c>
      <c r="E9" s="6" t="s">
        <v>377</v>
      </c>
      <c r="F9" s="6" t="s">
        <v>376</v>
      </c>
      <c r="G9" s="6" t="s">
        <v>377</v>
      </c>
      <c r="H9" s="6" t="s">
        <v>136</v>
      </c>
      <c r="I9" s="1">
        <f>VLOOKUP($H9,$H$256:$I$308,2,0)</f>
        <v>4</v>
      </c>
    </row>
    <row r="10" spans="1:254">
      <c r="A10" s="5">
        <v>41284</v>
      </c>
      <c r="B10" s="37">
        <v>80</v>
      </c>
      <c r="C10" s="37"/>
      <c r="D10" s="37">
        <f t="shared" si="0"/>
        <v>17640.719999999998</v>
      </c>
      <c r="E10" s="6" t="s">
        <v>239</v>
      </c>
      <c r="F10" s="6" t="s">
        <v>214</v>
      </c>
      <c r="G10" s="6" t="s">
        <v>377</v>
      </c>
      <c r="H10" s="6" t="s">
        <v>229</v>
      </c>
      <c r="I10" s="1">
        <f>VLOOKUP($H10,$H$256:$I$308,2,0)</f>
        <v>16</v>
      </c>
    </row>
    <row r="11" spans="1:254">
      <c r="A11" s="5">
        <v>41284</v>
      </c>
      <c r="B11" s="37"/>
      <c r="C11" s="37">
        <v>-2.62</v>
      </c>
      <c r="D11" s="37">
        <f t="shared" si="0"/>
        <v>17638.099999999999</v>
      </c>
      <c r="E11" s="6" t="s">
        <v>377</v>
      </c>
      <c r="F11" s="6" t="s">
        <v>376</v>
      </c>
      <c r="G11" s="6" t="s">
        <v>377</v>
      </c>
      <c r="H11" s="6" t="s">
        <v>136</v>
      </c>
      <c r="I11" s="1">
        <f>VLOOKUP($H11,$H$256:$I$308,2,0)</f>
        <v>4</v>
      </c>
    </row>
    <row r="12" spans="1:254">
      <c r="A12" s="5">
        <v>41285</v>
      </c>
      <c r="B12" s="41">
        <v>100</v>
      </c>
      <c r="C12" s="37"/>
      <c r="D12" s="37">
        <f t="shared" si="0"/>
        <v>17738.099999999999</v>
      </c>
      <c r="E12" s="6" t="s">
        <v>230</v>
      </c>
      <c r="F12" s="6" t="s">
        <v>255</v>
      </c>
      <c r="G12" s="6" t="s">
        <v>377</v>
      </c>
      <c r="H12" s="6" t="s">
        <v>340</v>
      </c>
      <c r="I12" s="1">
        <f>VLOOKUP($H12,$H$256:$I$308,2,0)</f>
        <v>16</v>
      </c>
    </row>
    <row r="13" spans="1:254">
      <c r="A13" s="5">
        <v>41285</v>
      </c>
      <c r="B13" s="37"/>
      <c r="C13" s="37">
        <v>-3.2</v>
      </c>
      <c r="D13" s="37">
        <f t="shared" si="0"/>
        <v>17734.899999999998</v>
      </c>
      <c r="E13" s="6" t="s">
        <v>377</v>
      </c>
      <c r="F13" s="6" t="s">
        <v>376</v>
      </c>
      <c r="G13" s="6" t="s">
        <v>377</v>
      </c>
      <c r="H13" s="6" t="s">
        <v>136</v>
      </c>
      <c r="I13" s="1">
        <f>VLOOKUP($H13,$H$256:$I$308,2,0)</f>
        <v>4</v>
      </c>
    </row>
    <row r="14" spans="1:254">
      <c r="A14" s="5">
        <v>41290</v>
      </c>
      <c r="B14" s="2">
        <v>80</v>
      </c>
      <c r="C14" s="37"/>
      <c r="D14" s="37">
        <f t="shared" si="0"/>
        <v>17814.899999999998</v>
      </c>
      <c r="E14" s="41" t="s">
        <v>191</v>
      </c>
      <c r="F14" s="6" t="s">
        <v>313</v>
      </c>
      <c r="G14" s="6" t="s">
        <v>377</v>
      </c>
      <c r="H14" s="6" t="s">
        <v>340</v>
      </c>
      <c r="I14" s="1">
        <f>VLOOKUP($H14,$H$256:$I$308,2,0)</f>
        <v>16</v>
      </c>
    </row>
    <row r="15" spans="1:254">
      <c r="A15" s="5">
        <v>41290</v>
      </c>
      <c r="B15" s="37"/>
      <c r="C15" s="37">
        <v>-2.62</v>
      </c>
      <c r="D15" s="37">
        <f t="shared" si="0"/>
        <v>17812.28</v>
      </c>
      <c r="E15" s="6" t="s">
        <v>314</v>
      </c>
      <c r="F15" s="6" t="s">
        <v>376</v>
      </c>
      <c r="G15" s="6" t="s">
        <v>377</v>
      </c>
      <c r="H15" s="6" t="s">
        <v>136</v>
      </c>
      <c r="I15" s="1">
        <f>VLOOKUP($H15,$H$256:$I$308,2,0)</f>
        <v>4</v>
      </c>
    </row>
    <row r="16" spans="1:254">
      <c r="A16" s="5">
        <v>41290</v>
      </c>
      <c r="B16" s="37">
        <v>25</v>
      </c>
      <c r="C16" s="37"/>
      <c r="D16" s="37">
        <f t="shared" si="0"/>
        <v>17837.28</v>
      </c>
      <c r="E16" s="6" t="s">
        <v>315</v>
      </c>
      <c r="F16" s="6" t="s">
        <v>316</v>
      </c>
      <c r="G16" s="6" t="s">
        <v>317</v>
      </c>
      <c r="H16" s="6" t="s">
        <v>318</v>
      </c>
      <c r="I16" s="1">
        <f>VLOOKUP($H16,$H$256:$I$308,2,0)</f>
        <v>16</v>
      </c>
    </row>
    <row r="17" spans="1:9">
      <c r="A17" s="5">
        <v>41290</v>
      </c>
      <c r="B17" s="37"/>
      <c r="C17" s="37">
        <v>-1.03</v>
      </c>
      <c r="D17" s="37">
        <f t="shared" si="0"/>
        <v>17836.25</v>
      </c>
      <c r="E17" s="6" t="s">
        <v>314</v>
      </c>
      <c r="F17" s="6" t="s">
        <v>376</v>
      </c>
      <c r="G17" s="6" t="s">
        <v>377</v>
      </c>
      <c r="H17" s="6" t="s">
        <v>136</v>
      </c>
      <c r="I17" s="1">
        <f>VLOOKUP($H17,$H$256:$I$308,2,0)</f>
        <v>4</v>
      </c>
    </row>
    <row r="18" spans="1:9">
      <c r="A18" s="5">
        <v>41299</v>
      </c>
      <c r="B18" s="37">
        <v>100</v>
      </c>
      <c r="C18" s="37"/>
      <c r="D18" s="37">
        <f t="shared" si="0"/>
        <v>17936.25</v>
      </c>
      <c r="E18" s="6" t="s">
        <v>319</v>
      </c>
      <c r="F18" s="6" t="s">
        <v>316</v>
      </c>
      <c r="G18" s="6" t="s">
        <v>320</v>
      </c>
      <c r="H18" s="6" t="s">
        <v>321</v>
      </c>
      <c r="I18" s="1">
        <f>VLOOKUP($H18,$H$256:$I$308,2,0)</f>
        <v>16</v>
      </c>
    </row>
    <row r="19" spans="1:9">
      <c r="A19" s="5">
        <v>41299</v>
      </c>
      <c r="B19" s="38"/>
      <c r="C19" s="38">
        <v>-3.2</v>
      </c>
      <c r="D19" s="37">
        <f t="shared" si="0"/>
        <v>17933.05</v>
      </c>
      <c r="E19" s="47" t="s">
        <v>150</v>
      </c>
      <c r="F19" s="47" t="s">
        <v>322</v>
      </c>
      <c r="G19" s="47" t="s">
        <v>150</v>
      </c>
      <c r="H19" s="47" t="s">
        <v>136</v>
      </c>
      <c r="I19" s="1">
        <f>VLOOKUP($H19,$H$256:$I$308,2,0)</f>
        <v>4</v>
      </c>
    </row>
    <row r="20" spans="1:9">
      <c r="A20" s="5">
        <v>41303</v>
      </c>
      <c r="B20" s="38">
        <v>100</v>
      </c>
      <c r="C20" s="38"/>
      <c r="D20" s="37">
        <f t="shared" si="0"/>
        <v>18033.05</v>
      </c>
      <c r="E20" s="6" t="s">
        <v>211</v>
      </c>
      <c r="F20" s="6" t="s">
        <v>316</v>
      </c>
      <c r="G20" s="6" t="s">
        <v>334</v>
      </c>
      <c r="H20" s="6" t="s">
        <v>335</v>
      </c>
      <c r="I20" s="1">
        <f>VLOOKUP($H20,$H$256:$I$308,2,0)</f>
        <v>16</v>
      </c>
    </row>
    <row r="21" spans="1:9">
      <c r="A21" s="5">
        <v>41303</v>
      </c>
      <c r="B21" s="38"/>
      <c r="C21" s="38">
        <v>-3.2</v>
      </c>
      <c r="D21" s="37">
        <f t="shared" si="0"/>
        <v>18029.849999999999</v>
      </c>
      <c r="E21" s="47" t="s">
        <v>150</v>
      </c>
      <c r="F21" s="47" t="s">
        <v>322</v>
      </c>
      <c r="G21" s="47" t="s">
        <v>150</v>
      </c>
      <c r="H21" s="47" t="s">
        <v>136</v>
      </c>
      <c r="I21" s="1">
        <f>VLOOKUP($H21,$H$256:$I$308,2,0)</f>
        <v>4</v>
      </c>
    </row>
    <row r="22" spans="1:9">
      <c r="A22" s="5">
        <v>41305</v>
      </c>
      <c r="B22" s="41">
        <v>0.05</v>
      </c>
      <c r="C22" s="37"/>
      <c r="D22" s="37">
        <f t="shared" si="0"/>
        <v>18029.899999999998</v>
      </c>
      <c r="E22" s="6" t="s">
        <v>336</v>
      </c>
      <c r="F22" s="6" t="s">
        <v>216</v>
      </c>
      <c r="G22" s="6" t="s">
        <v>425</v>
      </c>
      <c r="H22" s="6" t="s">
        <v>265</v>
      </c>
      <c r="I22" s="1">
        <f>VLOOKUP($H22,$H$256:$I$308,2,0)</f>
        <v>12</v>
      </c>
    </row>
    <row r="23" spans="1:9">
      <c r="A23" s="5">
        <v>41308</v>
      </c>
      <c r="B23" s="37">
        <v>100</v>
      </c>
      <c r="C23" s="37"/>
      <c r="D23" s="37">
        <f t="shared" si="0"/>
        <v>18129.899999999998</v>
      </c>
      <c r="E23" s="6" t="s">
        <v>338</v>
      </c>
      <c r="F23" s="6" t="s">
        <v>316</v>
      </c>
      <c r="G23" s="6" t="s">
        <v>334</v>
      </c>
      <c r="H23" s="6" t="s">
        <v>339</v>
      </c>
      <c r="I23" s="1">
        <f>VLOOKUP($H23,$H$256:$I$308,2,0)</f>
        <v>16</v>
      </c>
    </row>
    <row r="24" spans="1:9">
      <c r="A24" s="5">
        <v>41308</v>
      </c>
      <c r="B24" s="37"/>
      <c r="C24" s="37">
        <v>-3.2</v>
      </c>
      <c r="D24" s="37">
        <f t="shared" si="0"/>
        <v>18126.699999999997</v>
      </c>
      <c r="E24" s="48" t="s">
        <v>410</v>
      </c>
      <c r="F24" s="47" t="s">
        <v>322</v>
      </c>
      <c r="G24" s="47" t="s">
        <v>150</v>
      </c>
      <c r="H24" s="48" t="s">
        <v>411</v>
      </c>
      <c r="I24" s="1">
        <f>VLOOKUP($H24,$H$256:$I$308,2,0)</f>
        <v>4</v>
      </c>
    </row>
    <row r="25" spans="1:9">
      <c r="A25" s="5">
        <v>41310</v>
      </c>
      <c r="B25" s="37">
        <v>474.15</v>
      </c>
      <c r="C25" s="37"/>
      <c r="D25" s="37">
        <f t="shared" si="0"/>
        <v>18600.849999999999</v>
      </c>
      <c r="E25" s="6" t="s">
        <v>362</v>
      </c>
      <c r="F25" s="6" t="s">
        <v>363</v>
      </c>
      <c r="G25" s="6" t="s">
        <v>425</v>
      </c>
      <c r="H25" s="6" t="s">
        <v>237</v>
      </c>
      <c r="I25" s="1">
        <f>VLOOKUP($H25,$H$256:$I$308,2,0)</f>
        <v>23</v>
      </c>
    </row>
    <row r="26" spans="1:9">
      <c r="A26" s="5">
        <v>41310</v>
      </c>
      <c r="B26" s="38">
        <v>160</v>
      </c>
      <c r="C26" s="38"/>
      <c r="D26" s="37">
        <f t="shared" si="0"/>
        <v>18760.849999999999</v>
      </c>
      <c r="E26" s="6" t="s">
        <v>484</v>
      </c>
      <c r="F26" s="6" t="s">
        <v>485</v>
      </c>
      <c r="G26" s="6" t="s">
        <v>425</v>
      </c>
      <c r="H26" s="6" t="s">
        <v>316</v>
      </c>
      <c r="I26" s="1">
        <f>VLOOKUP($H26,$H$256:$I$308,2,0)</f>
        <v>16</v>
      </c>
    </row>
    <row r="27" spans="1:9">
      <c r="A27" s="5">
        <v>41311</v>
      </c>
      <c r="B27" s="38">
        <v>150</v>
      </c>
      <c r="C27" s="38"/>
      <c r="D27" s="37">
        <f t="shared" si="0"/>
        <v>18910.849999999999</v>
      </c>
      <c r="E27" s="6" t="s">
        <v>407</v>
      </c>
      <c r="F27" s="6" t="s">
        <v>408</v>
      </c>
      <c r="G27" s="6" t="s">
        <v>409</v>
      </c>
      <c r="H27" s="6" t="s">
        <v>386</v>
      </c>
      <c r="I27" s="1">
        <f>VLOOKUP($H27,$H$256:$I$308,2,0)</f>
        <v>6010</v>
      </c>
    </row>
    <row r="28" spans="1:9">
      <c r="A28" s="5">
        <v>41311</v>
      </c>
      <c r="B28" s="37"/>
      <c r="C28" s="37">
        <v>-4.6500000000000004</v>
      </c>
      <c r="D28" s="37">
        <f t="shared" si="0"/>
        <v>18906.199999999997</v>
      </c>
      <c r="E28" s="48" t="s">
        <v>410</v>
      </c>
      <c r="F28" s="48" t="s">
        <v>322</v>
      </c>
      <c r="G28" s="48" t="s">
        <v>150</v>
      </c>
      <c r="H28" s="48" t="s">
        <v>411</v>
      </c>
      <c r="I28" s="1">
        <f>VLOOKUP($H28,$H$256:$I$308,2,0)</f>
        <v>4</v>
      </c>
    </row>
    <row r="29" spans="1:9">
      <c r="A29" s="5">
        <v>41312</v>
      </c>
      <c r="B29" s="37">
        <v>150</v>
      </c>
      <c r="C29" s="37"/>
      <c r="D29" s="37">
        <f t="shared" si="0"/>
        <v>19056.199999999997</v>
      </c>
      <c r="E29" s="6" t="s">
        <v>412</v>
      </c>
      <c r="F29" s="6" t="s">
        <v>408</v>
      </c>
      <c r="G29" s="6" t="s">
        <v>409</v>
      </c>
      <c r="H29" s="6" t="s">
        <v>386</v>
      </c>
      <c r="I29" s="1">
        <f>VLOOKUP($H29,$H$256:$I$308,2,0)</f>
        <v>6010</v>
      </c>
    </row>
    <row r="30" spans="1:9">
      <c r="A30" s="5">
        <v>41312</v>
      </c>
      <c r="B30" s="38"/>
      <c r="C30" s="38">
        <v>-6.15</v>
      </c>
      <c r="D30" s="37">
        <f t="shared" si="0"/>
        <v>19050.049999999996</v>
      </c>
      <c r="E30" s="48" t="s">
        <v>150</v>
      </c>
      <c r="F30" s="48" t="s">
        <v>322</v>
      </c>
      <c r="G30" s="48" t="s">
        <v>150</v>
      </c>
      <c r="H30" s="48" t="s">
        <v>136</v>
      </c>
      <c r="I30" s="1">
        <f>VLOOKUP($H30,$H$256:$I$308,2,0)</f>
        <v>4</v>
      </c>
    </row>
    <row r="31" spans="1:9">
      <c r="A31" s="5">
        <v>41312</v>
      </c>
      <c r="B31" s="37"/>
      <c r="C31" s="37">
        <v>-150</v>
      </c>
      <c r="D31" s="37">
        <f t="shared" si="0"/>
        <v>18900.049999999996</v>
      </c>
      <c r="E31" s="6" t="s">
        <v>414</v>
      </c>
      <c r="F31" s="6" t="s">
        <v>95</v>
      </c>
      <c r="G31" s="6" t="s">
        <v>409</v>
      </c>
      <c r="H31" s="6" t="s">
        <v>386</v>
      </c>
      <c r="I31" s="1">
        <f>VLOOKUP($H31,$H$256:$I$308,2,0)</f>
        <v>6010</v>
      </c>
    </row>
    <row r="32" spans="1:9">
      <c r="A32" s="5">
        <v>41312</v>
      </c>
      <c r="B32" s="37">
        <v>5.85</v>
      </c>
      <c r="C32" s="37"/>
      <c r="D32" s="37">
        <f t="shared" si="0"/>
        <v>18905.899999999994</v>
      </c>
      <c r="E32" s="48" t="s">
        <v>150</v>
      </c>
      <c r="F32" s="48" t="s">
        <v>413</v>
      </c>
      <c r="G32" s="48" t="s">
        <v>150</v>
      </c>
      <c r="H32" s="48" t="s">
        <v>136</v>
      </c>
      <c r="I32" s="1">
        <f>VLOOKUP($H32,$H$256:$I$308,2,0)</f>
        <v>4</v>
      </c>
    </row>
    <row r="33" spans="1:14">
      <c r="A33" s="5">
        <v>41319</v>
      </c>
      <c r="B33" s="2">
        <v>100</v>
      </c>
      <c r="C33" s="37"/>
      <c r="D33" s="37">
        <f t="shared" si="0"/>
        <v>19005.899999999994</v>
      </c>
      <c r="E33" s="41" t="s">
        <v>96</v>
      </c>
      <c r="F33" s="6" t="s">
        <v>97</v>
      </c>
      <c r="G33" s="6" t="s">
        <v>409</v>
      </c>
      <c r="H33" s="6" t="s">
        <v>98</v>
      </c>
      <c r="I33" s="1">
        <f>VLOOKUP($H33,$H$256:$I$308,2,0)</f>
        <v>16</v>
      </c>
    </row>
    <row r="34" spans="1:14">
      <c r="A34" s="5">
        <v>41319</v>
      </c>
      <c r="B34" s="37"/>
      <c r="C34" s="37">
        <v>-3.2</v>
      </c>
      <c r="D34" s="37">
        <f t="shared" si="0"/>
        <v>19002.699999999993</v>
      </c>
      <c r="E34" s="48" t="s">
        <v>150</v>
      </c>
      <c r="F34" s="48" t="s">
        <v>322</v>
      </c>
      <c r="G34" s="48" t="s">
        <v>150</v>
      </c>
      <c r="H34" s="48" t="s">
        <v>136</v>
      </c>
      <c r="I34" s="1">
        <f>VLOOKUP($H34,$H$256:$I$308,2,0)</f>
        <v>4</v>
      </c>
    </row>
    <row r="35" spans="1:14">
      <c r="A35" s="5">
        <v>41319</v>
      </c>
      <c r="B35" s="37">
        <v>100</v>
      </c>
      <c r="C35" s="37"/>
      <c r="D35" s="37">
        <f t="shared" si="0"/>
        <v>19102.699999999993</v>
      </c>
      <c r="E35" s="6" t="s">
        <v>101</v>
      </c>
      <c r="F35" s="6" t="s">
        <v>97</v>
      </c>
      <c r="G35" s="6" t="s">
        <v>100</v>
      </c>
      <c r="H35" s="6" t="s">
        <v>99</v>
      </c>
      <c r="I35" s="1">
        <f>VLOOKUP($H35,$H$256:$I$308,2,0)</f>
        <v>16</v>
      </c>
    </row>
    <row r="36" spans="1:14">
      <c r="A36" s="5">
        <v>41319</v>
      </c>
      <c r="B36" s="37"/>
      <c r="C36" s="37">
        <v>-3.2</v>
      </c>
      <c r="D36" s="37">
        <f t="shared" si="0"/>
        <v>19099.499999999993</v>
      </c>
      <c r="E36" s="48" t="s">
        <v>150</v>
      </c>
      <c r="F36" s="48" t="s">
        <v>322</v>
      </c>
      <c r="G36" s="48" t="s">
        <v>150</v>
      </c>
      <c r="H36" s="48" t="s">
        <v>136</v>
      </c>
      <c r="I36" s="1">
        <f>VLOOKUP($H36,$H$256:$I$308,2,0)</f>
        <v>4</v>
      </c>
    </row>
    <row r="37" spans="1:14">
      <c r="A37" s="5">
        <v>41323</v>
      </c>
      <c r="B37" s="38"/>
      <c r="C37" s="38">
        <v>-10000</v>
      </c>
      <c r="D37" s="37">
        <f t="shared" si="0"/>
        <v>9099.4999999999927</v>
      </c>
      <c r="E37" s="6" t="s">
        <v>245</v>
      </c>
      <c r="F37" s="6" t="s">
        <v>373</v>
      </c>
      <c r="G37" s="6" t="s">
        <v>246</v>
      </c>
      <c r="H37" s="6" t="s">
        <v>288</v>
      </c>
      <c r="I37" s="1">
        <f>VLOOKUP($H37,$H$256:$I$308,2,0)</f>
        <v>17</v>
      </c>
    </row>
    <row r="38" spans="1:14">
      <c r="A38" s="5">
        <v>41323</v>
      </c>
      <c r="B38" s="38">
        <v>10000</v>
      </c>
      <c r="C38" s="38"/>
      <c r="D38" s="37">
        <f t="shared" si="0"/>
        <v>19099.499999999993</v>
      </c>
      <c r="E38" s="6" t="s">
        <v>247</v>
      </c>
      <c r="F38" s="6" t="s">
        <v>374</v>
      </c>
      <c r="G38" s="6" t="s">
        <v>425</v>
      </c>
      <c r="H38" s="6" t="s">
        <v>372</v>
      </c>
      <c r="I38" s="1">
        <f>VLOOKUP($H38,$H$256:$I$308,2,0)</f>
        <v>17</v>
      </c>
    </row>
    <row r="39" spans="1:14">
      <c r="A39" s="5">
        <v>41323</v>
      </c>
      <c r="B39" s="38"/>
      <c r="C39" s="38">
        <v>-7056.63</v>
      </c>
      <c r="D39" s="37">
        <f t="shared" si="0"/>
        <v>12042.869999999992</v>
      </c>
      <c r="E39" s="6" t="s">
        <v>375</v>
      </c>
      <c r="F39" s="6" t="s">
        <v>355</v>
      </c>
      <c r="G39" s="6" t="s">
        <v>425</v>
      </c>
      <c r="H39" s="6" t="s">
        <v>289</v>
      </c>
      <c r="I39" s="1">
        <f>VLOOKUP($H39,$H$256:$I$308,2,0)</f>
        <v>13</v>
      </c>
    </row>
    <row r="40" spans="1:14">
      <c r="A40" s="5">
        <v>41323</v>
      </c>
      <c r="B40" s="37"/>
      <c r="C40" s="37">
        <v>-25</v>
      </c>
      <c r="D40" s="37">
        <f t="shared" si="0"/>
        <v>12017.869999999992</v>
      </c>
      <c r="E40" s="6" t="s">
        <v>459</v>
      </c>
      <c r="F40" s="6" t="s">
        <v>451</v>
      </c>
      <c r="G40" s="6" t="s">
        <v>425</v>
      </c>
      <c r="H40" s="6" t="s">
        <v>337</v>
      </c>
      <c r="I40" s="1">
        <f>VLOOKUP($H40,$H$256:$I$308,2,0)</f>
        <v>4</v>
      </c>
    </row>
    <row r="41" spans="1:14">
      <c r="A41" s="5">
        <v>41324</v>
      </c>
      <c r="B41" s="37">
        <v>80</v>
      </c>
      <c r="C41" s="37"/>
      <c r="D41" s="37">
        <f t="shared" si="0"/>
        <v>12097.869999999992</v>
      </c>
      <c r="E41" s="6" t="s">
        <v>379</v>
      </c>
      <c r="F41" s="6" t="s">
        <v>380</v>
      </c>
      <c r="G41" s="6" t="s">
        <v>381</v>
      </c>
      <c r="H41" s="6" t="s">
        <v>382</v>
      </c>
      <c r="I41" s="1">
        <f>VLOOKUP($H41,$H$256:$I$308,2,0)</f>
        <v>16</v>
      </c>
    </row>
    <row r="42" spans="1:14">
      <c r="A42" s="5">
        <v>41324</v>
      </c>
      <c r="B42" s="37"/>
      <c r="C42" s="37">
        <v>-2.62</v>
      </c>
      <c r="D42" s="37">
        <f t="shared" si="0"/>
        <v>12095.249999999991</v>
      </c>
      <c r="E42" s="51" t="s">
        <v>150</v>
      </c>
      <c r="F42" s="51" t="s">
        <v>322</v>
      </c>
      <c r="G42" s="51" t="s">
        <v>150</v>
      </c>
      <c r="H42" s="51" t="s">
        <v>136</v>
      </c>
      <c r="I42" s="1">
        <f>VLOOKUP($H42,$H$256:$I$308,2,0)</f>
        <v>4</v>
      </c>
      <c r="M42" s="1">
        <v>1.3555999999999999</v>
      </c>
    </row>
    <row r="43" spans="1:14">
      <c r="A43" s="5">
        <v>41332</v>
      </c>
      <c r="B43" s="37">
        <v>100</v>
      </c>
      <c r="C43" s="37"/>
      <c r="D43" s="37">
        <f t="shared" si="0"/>
        <v>12195.249999999991</v>
      </c>
      <c r="E43" s="6" t="s">
        <v>383</v>
      </c>
      <c r="F43" s="6" t="s">
        <v>384</v>
      </c>
      <c r="G43" s="6" t="s">
        <v>381</v>
      </c>
      <c r="H43" s="6" t="s">
        <v>382</v>
      </c>
      <c r="I43" s="1">
        <f>VLOOKUP($H43,$H$256:$I$308,2,0)</f>
        <v>16</v>
      </c>
    </row>
    <row r="44" spans="1:14">
      <c r="A44" s="5">
        <v>41332</v>
      </c>
      <c r="B44" s="37"/>
      <c r="C44" s="37">
        <v>-3.2</v>
      </c>
      <c r="D44" s="37">
        <f t="shared" si="0"/>
        <v>12192.04999999999</v>
      </c>
      <c r="E44" s="51" t="s">
        <v>150</v>
      </c>
      <c r="F44" s="51" t="s">
        <v>322</v>
      </c>
      <c r="G44" s="51" t="s">
        <v>150</v>
      </c>
      <c r="H44" s="51" t="s">
        <v>136</v>
      </c>
      <c r="I44" s="1">
        <f>VLOOKUP($H44,$H$256:$I$308,2,0)</f>
        <v>4</v>
      </c>
      <c r="M44" s="1">
        <v>3320</v>
      </c>
      <c r="N44" s="2">
        <f>M44*M$42</f>
        <v>4500.5919999999996</v>
      </c>
    </row>
    <row r="45" spans="1:14">
      <c r="A45" s="5">
        <v>41333</v>
      </c>
      <c r="B45" s="37">
        <v>80</v>
      </c>
      <c r="C45" s="37"/>
      <c r="D45" s="37">
        <f t="shared" si="0"/>
        <v>12272.04999999999</v>
      </c>
      <c r="E45" s="6" t="s">
        <v>258</v>
      </c>
      <c r="F45" s="6" t="s">
        <v>380</v>
      </c>
      <c r="G45" s="6" t="s">
        <v>381</v>
      </c>
      <c r="H45" s="6" t="s">
        <v>382</v>
      </c>
      <c r="I45" s="1">
        <f>VLOOKUP($H45,$H$256:$I$308,2,0)</f>
        <v>16</v>
      </c>
      <c r="M45" s="1">
        <v>262</v>
      </c>
      <c r="N45" s="2">
        <f>M45*M$42</f>
        <v>355.16719999999998</v>
      </c>
    </row>
    <row r="46" spans="1:14" ht="15" customHeight="1">
      <c r="A46" s="5">
        <v>41333</v>
      </c>
      <c r="B46" s="37"/>
      <c r="C46" s="37">
        <v>-2.62</v>
      </c>
      <c r="D46" s="37">
        <f t="shared" si="0"/>
        <v>12269.429999999989</v>
      </c>
      <c r="E46" s="51" t="s">
        <v>150</v>
      </c>
      <c r="F46" s="51" t="s">
        <v>322</v>
      </c>
      <c r="G46" s="51" t="s">
        <v>150</v>
      </c>
      <c r="H46" s="51" t="s">
        <v>136</v>
      </c>
      <c r="I46" s="1">
        <f>VLOOKUP($H46,$H$256:$I$308,2,0)</f>
        <v>4</v>
      </c>
      <c r="M46" s="1">
        <f>SUM(M44:M45)</f>
        <v>3582</v>
      </c>
      <c r="N46" s="2">
        <f>M46*M$42</f>
        <v>4855.7591999999995</v>
      </c>
    </row>
    <row r="47" spans="1:14" ht="15" customHeight="1">
      <c r="A47" s="5">
        <v>41333</v>
      </c>
      <c r="B47" s="37">
        <v>0.06</v>
      </c>
      <c r="C47" s="37"/>
      <c r="D47" s="37">
        <f t="shared" si="0"/>
        <v>12269.489999999989</v>
      </c>
      <c r="E47" s="6" t="s">
        <v>259</v>
      </c>
      <c r="F47" s="6" t="s">
        <v>137</v>
      </c>
      <c r="G47" s="6" t="s">
        <v>425</v>
      </c>
      <c r="H47" s="6" t="s">
        <v>137</v>
      </c>
      <c r="I47" s="1">
        <f>VLOOKUP($H47,$H$256:$I$308,2,0)</f>
        <v>12</v>
      </c>
    </row>
    <row r="48" spans="1:14" ht="15" customHeight="1">
      <c r="A48" s="5">
        <v>41335</v>
      </c>
      <c r="B48" s="37">
        <v>100</v>
      </c>
      <c r="C48" s="37"/>
      <c r="D48" s="37">
        <f t="shared" si="0"/>
        <v>12369.489999999989</v>
      </c>
      <c r="E48" s="6" t="s">
        <v>452</v>
      </c>
      <c r="F48" s="6" t="s">
        <v>384</v>
      </c>
      <c r="G48" s="6" t="s">
        <v>381</v>
      </c>
      <c r="H48" s="6" t="s">
        <v>382</v>
      </c>
      <c r="I48" s="1">
        <f>VLOOKUP($H48,$H$256:$I$308,2,0)</f>
        <v>16</v>
      </c>
    </row>
    <row r="49" spans="1:9">
      <c r="A49" s="5">
        <v>41335</v>
      </c>
      <c r="B49" s="38"/>
      <c r="C49" s="38">
        <v>-3.2</v>
      </c>
      <c r="D49" s="37">
        <f t="shared" si="0"/>
        <v>12366.289999999988</v>
      </c>
      <c r="E49" s="51" t="s">
        <v>150</v>
      </c>
      <c r="F49" s="51" t="s">
        <v>322</v>
      </c>
      <c r="G49" s="51" t="s">
        <v>150</v>
      </c>
      <c r="H49" s="51" t="s">
        <v>136</v>
      </c>
      <c r="I49" s="1">
        <f>VLOOKUP($H49,$H$256:$I$308,2,0)</f>
        <v>4</v>
      </c>
    </row>
    <row r="50" spans="1:9">
      <c r="A50" s="30">
        <v>41337</v>
      </c>
      <c r="B50" s="38">
        <v>100</v>
      </c>
      <c r="C50" s="38"/>
      <c r="D50" s="37">
        <f t="shared" si="0"/>
        <v>12466.289999999988</v>
      </c>
      <c r="E50" s="6" t="s">
        <v>453</v>
      </c>
      <c r="F50" s="6" t="s">
        <v>384</v>
      </c>
      <c r="G50" s="6" t="s">
        <v>381</v>
      </c>
      <c r="H50" s="6" t="s">
        <v>382</v>
      </c>
      <c r="I50" s="1">
        <f>VLOOKUP($H50,$H$256:$I$308,2,0)</f>
        <v>16</v>
      </c>
    </row>
    <row r="51" spans="1:9">
      <c r="A51" s="5">
        <v>41337</v>
      </c>
      <c r="B51" s="38"/>
      <c r="C51" s="38">
        <v>-3.2</v>
      </c>
      <c r="D51" s="37">
        <f t="shared" si="0"/>
        <v>12463.089999999987</v>
      </c>
      <c r="E51" s="51" t="s">
        <v>150</v>
      </c>
      <c r="F51" s="51" t="s">
        <v>322</v>
      </c>
      <c r="G51" s="51" t="s">
        <v>150</v>
      </c>
      <c r="H51" s="51" t="s">
        <v>136</v>
      </c>
      <c r="I51" s="1">
        <f>VLOOKUP($H51,$H$256:$I$308,2,0)</f>
        <v>4</v>
      </c>
    </row>
    <row r="52" spans="1:9">
      <c r="A52" s="5">
        <v>41341</v>
      </c>
      <c r="B52" s="38">
        <v>25</v>
      </c>
      <c r="C52" s="38"/>
      <c r="D52" s="37">
        <f t="shared" si="0"/>
        <v>12488.089999999987</v>
      </c>
      <c r="E52" s="6" t="s">
        <v>395</v>
      </c>
      <c r="F52" s="6" t="s">
        <v>392</v>
      </c>
      <c r="G52" s="6" t="s">
        <v>393</v>
      </c>
      <c r="H52" s="6" t="s">
        <v>382</v>
      </c>
      <c r="I52" s="1">
        <f>VLOOKUP($H52,$H$256:$I$308,2,0)</f>
        <v>16</v>
      </c>
    </row>
    <row r="53" spans="1:9">
      <c r="A53" s="5">
        <v>41341</v>
      </c>
      <c r="B53" s="38"/>
      <c r="C53" s="38">
        <v>-1.03</v>
      </c>
      <c r="D53" s="37">
        <f t="shared" si="0"/>
        <v>12487.059999999987</v>
      </c>
      <c r="E53" s="51" t="s">
        <v>150</v>
      </c>
      <c r="F53" s="51" t="s">
        <v>322</v>
      </c>
      <c r="G53" s="51" t="s">
        <v>150</v>
      </c>
      <c r="H53" s="51" t="s">
        <v>136</v>
      </c>
      <c r="I53" s="1">
        <f>VLOOKUP($H53,$H$256:$I$308,2,0)</f>
        <v>4</v>
      </c>
    </row>
    <row r="54" spans="1:9">
      <c r="A54" s="5">
        <v>41344</v>
      </c>
      <c r="B54" s="38">
        <v>80</v>
      </c>
      <c r="C54" s="38"/>
      <c r="D54" s="37">
        <f t="shared" si="0"/>
        <v>12567.059999999987</v>
      </c>
      <c r="E54" s="6" t="s">
        <v>394</v>
      </c>
      <c r="F54" s="6" t="s">
        <v>380</v>
      </c>
      <c r="G54" s="6" t="s">
        <v>381</v>
      </c>
      <c r="H54" s="6" t="s">
        <v>382</v>
      </c>
      <c r="I54" s="1">
        <f>VLOOKUP($H54,$H$256:$I$308,2,0)</f>
        <v>16</v>
      </c>
    </row>
    <row r="55" spans="1:9">
      <c r="A55" s="5">
        <v>41344</v>
      </c>
      <c r="B55" s="38"/>
      <c r="C55" s="38">
        <v>-2.62</v>
      </c>
      <c r="D55" s="37">
        <f t="shared" si="0"/>
        <v>12564.439999999986</v>
      </c>
      <c r="E55" s="51" t="s">
        <v>150</v>
      </c>
      <c r="F55" s="51" t="s">
        <v>322</v>
      </c>
      <c r="G55" s="51" t="s">
        <v>150</v>
      </c>
      <c r="H55" s="51" t="s">
        <v>136</v>
      </c>
      <c r="I55" s="1">
        <f>VLOOKUP($H55,$H$256:$I$308,2,0)</f>
        <v>4</v>
      </c>
    </row>
    <row r="56" spans="1:9">
      <c r="A56" s="5">
        <v>41346</v>
      </c>
      <c r="B56" s="38">
        <v>80</v>
      </c>
      <c r="C56" s="38"/>
      <c r="D56" s="37">
        <f t="shared" si="0"/>
        <v>12644.439999999986</v>
      </c>
      <c r="E56" s="6" t="s">
        <v>272</v>
      </c>
      <c r="F56" s="6" t="s">
        <v>273</v>
      </c>
      <c r="G56" s="6" t="s">
        <v>381</v>
      </c>
      <c r="H56" s="6" t="s">
        <v>382</v>
      </c>
      <c r="I56" s="1">
        <f>VLOOKUP($H56,$H$256:$I$308,2,0)</f>
        <v>16</v>
      </c>
    </row>
    <row r="57" spans="1:9">
      <c r="A57" s="5">
        <v>41346</v>
      </c>
      <c r="B57" s="38"/>
      <c r="C57" s="38">
        <v>-2.62</v>
      </c>
      <c r="D57" s="37">
        <f t="shared" si="0"/>
        <v>12641.819999999985</v>
      </c>
      <c r="E57" s="51" t="s">
        <v>150</v>
      </c>
      <c r="F57" s="51" t="s">
        <v>322</v>
      </c>
      <c r="G57" s="51" t="s">
        <v>150</v>
      </c>
      <c r="H57" s="51" t="s">
        <v>136</v>
      </c>
      <c r="I57" s="1">
        <f>VLOOKUP($H57,$H$256:$I$308,2,0)</f>
        <v>4</v>
      </c>
    </row>
    <row r="58" spans="1:9">
      <c r="A58" s="5">
        <v>41348</v>
      </c>
      <c r="B58" s="38">
        <v>100</v>
      </c>
      <c r="C58" s="38"/>
      <c r="D58" s="37">
        <f t="shared" si="0"/>
        <v>12741.819999999985</v>
      </c>
      <c r="E58" s="6" t="s">
        <v>385</v>
      </c>
      <c r="F58" s="6" t="s">
        <v>384</v>
      </c>
      <c r="G58" s="6" t="s">
        <v>381</v>
      </c>
      <c r="H58" s="6" t="s">
        <v>382</v>
      </c>
      <c r="I58" s="1">
        <f>VLOOKUP($H58,$H$256:$I$308,2,0)</f>
        <v>16</v>
      </c>
    </row>
    <row r="59" spans="1:9">
      <c r="A59" s="5">
        <v>41348</v>
      </c>
      <c r="B59" s="38"/>
      <c r="C59" s="38">
        <v>-3.2</v>
      </c>
      <c r="D59" s="37">
        <f t="shared" si="0"/>
        <v>12738.619999999984</v>
      </c>
      <c r="E59" s="51" t="s">
        <v>150</v>
      </c>
      <c r="F59" s="51" t="s">
        <v>322</v>
      </c>
      <c r="G59" s="51" t="s">
        <v>150</v>
      </c>
      <c r="H59" s="51" t="s">
        <v>136</v>
      </c>
      <c r="I59" s="1">
        <f>VLOOKUP($H59,$H$256:$I$308,2,0)</f>
        <v>4</v>
      </c>
    </row>
    <row r="60" spans="1:9">
      <c r="A60" s="5">
        <v>41350</v>
      </c>
      <c r="B60" s="38">
        <v>80</v>
      </c>
      <c r="C60" s="38"/>
      <c r="D60" s="37">
        <f t="shared" si="0"/>
        <v>12818.619999999984</v>
      </c>
      <c r="E60" s="6" t="s">
        <v>260</v>
      </c>
      <c r="F60" s="6" t="s">
        <v>273</v>
      </c>
      <c r="G60" s="6" t="s">
        <v>381</v>
      </c>
      <c r="H60" s="6" t="s">
        <v>382</v>
      </c>
      <c r="I60" s="1">
        <f>VLOOKUP($H60,$H$256:$I$308,2,0)</f>
        <v>16</v>
      </c>
    </row>
    <row r="61" spans="1:9">
      <c r="A61" s="5">
        <v>41350</v>
      </c>
      <c r="B61" s="38"/>
      <c r="C61" s="38">
        <v>-2.62</v>
      </c>
      <c r="D61" s="37">
        <f t="shared" si="0"/>
        <v>12815.999999999984</v>
      </c>
      <c r="E61" s="51" t="s">
        <v>150</v>
      </c>
      <c r="F61" s="51" t="s">
        <v>322</v>
      </c>
      <c r="G61" s="51" t="s">
        <v>150</v>
      </c>
      <c r="H61" s="51" t="s">
        <v>136</v>
      </c>
      <c r="I61" s="1">
        <f>VLOOKUP($H61,$H$256:$I$308,2,0)</f>
        <v>4</v>
      </c>
    </row>
    <row r="62" spans="1:9">
      <c r="A62" s="5">
        <v>41355</v>
      </c>
      <c r="B62" s="38">
        <v>80</v>
      </c>
      <c r="C62" s="38"/>
      <c r="D62" s="37">
        <f t="shared" si="0"/>
        <v>12895.999999999984</v>
      </c>
      <c r="E62" s="6" t="s">
        <v>388</v>
      </c>
      <c r="F62" s="6" t="s">
        <v>380</v>
      </c>
      <c r="G62" s="6" t="s">
        <v>381</v>
      </c>
      <c r="H62" s="6" t="s">
        <v>389</v>
      </c>
      <c r="I62" s="1">
        <f>VLOOKUP($H62,$H$256:$I$308,2,0)</f>
        <v>16</v>
      </c>
    </row>
    <row r="63" spans="1:9">
      <c r="A63" s="5">
        <v>41355</v>
      </c>
      <c r="B63" s="38"/>
      <c r="C63" s="38">
        <v>-2.62</v>
      </c>
      <c r="D63" s="37">
        <f t="shared" si="0"/>
        <v>12893.379999999983</v>
      </c>
      <c r="E63" s="51" t="s">
        <v>150</v>
      </c>
      <c r="F63" s="51" t="s">
        <v>322</v>
      </c>
      <c r="G63" s="51" t="s">
        <v>150</v>
      </c>
      <c r="H63" s="51" t="s">
        <v>136</v>
      </c>
      <c r="I63" s="1">
        <f>VLOOKUP($H63,$H$256:$I$308,2,0)</f>
        <v>4</v>
      </c>
    </row>
    <row r="64" spans="1:9">
      <c r="A64" s="5">
        <v>41355</v>
      </c>
      <c r="B64" s="38"/>
      <c r="C64" s="38">
        <v>-25</v>
      </c>
      <c r="D64" s="37">
        <f t="shared" si="0"/>
        <v>12868.379999999983</v>
      </c>
      <c r="E64" s="6" t="s">
        <v>261</v>
      </c>
      <c r="F64" s="6" t="s">
        <v>396</v>
      </c>
      <c r="G64" s="6" t="s">
        <v>425</v>
      </c>
      <c r="H64" s="6" t="s">
        <v>398</v>
      </c>
      <c r="I64" s="1">
        <f>VLOOKUP($H64,$H$256:$I$308,2,0)</f>
        <v>4</v>
      </c>
    </row>
    <row r="65" spans="1:9">
      <c r="A65" s="5">
        <v>41361</v>
      </c>
      <c r="B65" s="38">
        <v>7.0000000000000007E-2</v>
      </c>
      <c r="C65" s="38"/>
      <c r="D65" s="37">
        <f t="shared" si="0"/>
        <v>12868.449999999983</v>
      </c>
      <c r="E65" s="6" t="s">
        <v>387</v>
      </c>
      <c r="F65" s="6" t="s">
        <v>137</v>
      </c>
      <c r="G65" s="6" t="s">
        <v>425</v>
      </c>
      <c r="H65" s="6" t="s">
        <v>137</v>
      </c>
      <c r="I65" s="1">
        <f>VLOOKUP($H65,$H$256:$I$308,2,0)</f>
        <v>12</v>
      </c>
    </row>
    <row r="66" spans="1:9">
      <c r="A66" s="30">
        <v>41362</v>
      </c>
      <c r="B66" s="38">
        <v>100</v>
      </c>
      <c r="C66" s="38"/>
      <c r="D66" s="37">
        <f t="shared" si="0"/>
        <v>12968.449999999983</v>
      </c>
      <c r="E66" s="6" t="s">
        <v>390</v>
      </c>
      <c r="F66" s="6" t="s">
        <v>384</v>
      </c>
      <c r="G66" s="6" t="s">
        <v>381</v>
      </c>
      <c r="H66" s="6" t="s">
        <v>382</v>
      </c>
      <c r="I66" s="1">
        <f>VLOOKUP($H66,$H$256:$I$308,2,0)</f>
        <v>16</v>
      </c>
    </row>
    <row r="67" spans="1:9">
      <c r="A67" s="5">
        <v>41362</v>
      </c>
      <c r="B67" s="37"/>
      <c r="C67" s="37">
        <v>-3.2</v>
      </c>
      <c r="D67" s="37">
        <f t="shared" si="0"/>
        <v>12965.249999999982</v>
      </c>
      <c r="E67" s="51" t="s">
        <v>150</v>
      </c>
      <c r="F67" s="51" t="s">
        <v>322</v>
      </c>
      <c r="G67" s="51" t="s">
        <v>150</v>
      </c>
      <c r="H67" s="51" t="s">
        <v>136</v>
      </c>
      <c r="I67" s="1">
        <f>VLOOKUP($H67,$H$256:$I$308,2,0)</f>
        <v>4</v>
      </c>
    </row>
    <row r="68" spans="1:9">
      <c r="A68" s="5">
        <v>41366</v>
      </c>
      <c r="B68" s="37">
        <v>100</v>
      </c>
      <c r="C68" s="37"/>
      <c r="D68" s="37">
        <f t="shared" si="0"/>
        <v>13065.249999999982</v>
      </c>
      <c r="E68" s="6" t="s">
        <v>492</v>
      </c>
      <c r="F68" s="6" t="s">
        <v>493</v>
      </c>
      <c r="G68" s="6" t="s">
        <v>494</v>
      </c>
      <c r="H68" s="6" t="s">
        <v>495</v>
      </c>
      <c r="I68" s="1">
        <f>VLOOKUP($H68,$H$256:$I$308,2,0)</f>
        <v>16</v>
      </c>
    </row>
    <row r="69" spans="1:9">
      <c r="A69" s="5">
        <v>41366</v>
      </c>
      <c r="B69" s="37"/>
      <c r="C69" s="37">
        <v>-3.2</v>
      </c>
      <c r="D69" s="37">
        <f t="shared" si="0"/>
        <v>13062.049999999981</v>
      </c>
      <c r="E69" s="61" t="s">
        <v>150</v>
      </c>
      <c r="F69" s="61" t="s">
        <v>322</v>
      </c>
      <c r="G69" s="61" t="s">
        <v>150</v>
      </c>
      <c r="H69" s="61" t="s">
        <v>136</v>
      </c>
      <c r="I69" s="1">
        <f>VLOOKUP($H69,$H$256:$I$308,2,0)</f>
        <v>4</v>
      </c>
    </row>
    <row r="70" spans="1:9">
      <c r="A70" s="5">
        <v>41375</v>
      </c>
      <c r="B70" s="38">
        <v>100</v>
      </c>
      <c r="C70" s="38"/>
      <c r="D70" s="37">
        <f t="shared" si="0"/>
        <v>13162.049999999981</v>
      </c>
      <c r="E70" s="6" t="s">
        <v>496</v>
      </c>
      <c r="F70" s="6" t="s">
        <v>493</v>
      </c>
      <c r="G70" s="6" t="s">
        <v>494</v>
      </c>
      <c r="H70" s="6" t="s">
        <v>495</v>
      </c>
      <c r="I70" s="1">
        <f>VLOOKUP($H70,$H$256:$I$308,2,0)</f>
        <v>16</v>
      </c>
    </row>
    <row r="71" spans="1:9">
      <c r="A71" s="5">
        <v>41375</v>
      </c>
      <c r="B71" s="38"/>
      <c r="C71" s="38">
        <v>-3.2</v>
      </c>
      <c r="D71" s="37">
        <f t="shared" si="0"/>
        <v>13158.84999999998</v>
      </c>
      <c r="E71" s="7" t="s">
        <v>494</v>
      </c>
      <c r="F71" s="61" t="s">
        <v>322</v>
      </c>
      <c r="G71" s="61" t="s">
        <v>150</v>
      </c>
      <c r="H71" s="61" t="s">
        <v>136</v>
      </c>
      <c r="I71" s="1">
        <f>VLOOKUP($H71,$H$256:$I$308,2,0)</f>
        <v>4</v>
      </c>
    </row>
    <row r="72" spans="1:9">
      <c r="A72" s="5">
        <v>41379</v>
      </c>
      <c r="B72" s="37"/>
      <c r="C72" s="37">
        <v>-25</v>
      </c>
      <c r="D72" s="37">
        <f t="shared" si="0"/>
        <v>13133.84999999998</v>
      </c>
      <c r="E72" s="6" t="s">
        <v>497</v>
      </c>
      <c r="F72" s="6" t="s">
        <v>396</v>
      </c>
      <c r="G72" s="6" t="s">
        <v>425</v>
      </c>
      <c r="H72" s="6" t="s">
        <v>397</v>
      </c>
      <c r="I72" s="1">
        <f>VLOOKUP($H72,$H$256:$I$308,2,0)</f>
        <v>4</v>
      </c>
    </row>
    <row r="73" spans="1:9">
      <c r="A73" s="5">
        <v>41383</v>
      </c>
      <c r="B73" s="37">
        <v>150</v>
      </c>
      <c r="C73" s="37"/>
      <c r="D73" s="37">
        <f t="shared" si="0"/>
        <v>13283.84999999998</v>
      </c>
      <c r="E73" s="6" t="s">
        <v>498</v>
      </c>
      <c r="F73" s="6" t="s">
        <v>500</v>
      </c>
      <c r="G73" s="6" t="s">
        <v>494</v>
      </c>
      <c r="H73" s="6" t="s">
        <v>501</v>
      </c>
      <c r="I73" s="1">
        <f>VLOOKUP($H73,$H$256:$I$308,2,0)</f>
        <v>6010</v>
      </c>
    </row>
    <row r="74" spans="1:9">
      <c r="A74" s="5">
        <v>41383</v>
      </c>
      <c r="B74" s="37"/>
      <c r="C74" s="37">
        <v>-4.6500000000000004</v>
      </c>
      <c r="D74" s="37">
        <f t="shared" si="0"/>
        <v>13279.199999999981</v>
      </c>
      <c r="E74" s="6" t="s">
        <v>499</v>
      </c>
      <c r="F74" s="6" t="s">
        <v>502</v>
      </c>
      <c r="G74" s="6" t="s">
        <v>494</v>
      </c>
      <c r="H74" s="6" t="s">
        <v>503</v>
      </c>
      <c r="I74" s="1">
        <f>VLOOKUP($H74,$H$256:$I$308,2,0)</f>
        <v>4</v>
      </c>
    </row>
    <row r="75" spans="1:9">
      <c r="A75" s="5">
        <v>41385</v>
      </c>
      <c r="B75" s="37">
        <v>25</v>
      </c>
      <c r="C75" s="37"/>
      <c r="D75" s="37">
        <f t="shared" si="0"/>
        <v>13304.199999999981</v>
      </c>
      <c r="E75" s="6" t="s">
        <v>504</v>
      </c>
      <c r="F75" s="6" t="s">
        <v>493</v>
      </c>
      <c r="G75" s="6" t="s">
        <v>494</v>
      </c>
      <c r="H75" s="6" t="s">
        <v>495</v>
      </c>
      <c r="I75" s="1">
        <f>VLOOKUP($H75,$H$256:$I$308,2,0)</f>
        <v>16</v>
      </c>
    </row>
    <row r="76" spans="1:9">
      <c r="A76" s="5">
        <v>41385</v>
      </c>
      <c r="B76" s="37"/>
      <c r="C76" s="37">
        <v>-1.03</v>
      </c>
      <c r="D76" s="37">
        <f t="shared" si="0"/>
        <v>13303.16999999998</v>
      </c>
      <c r="E76" s="6" t="s">
        <v>494</v>
      </c>
      <c r="F76" s="61" t="s">
        <v>322</v>
      </c>
      <c r="G76" s="61" t="s">
        <v>150</v>
      </c>
      <c r="H76" s="61" t="s">
        <v>136</v>
      </c>
      <c r="I76" s="1">
        <f>VLOOKUP($H76,$H$256:$I$308,2,0)</f>
        <v>4</v>
      </c>
    </row>
    <row r="77" spans="1:9">
      <c r="A77" s="5">
        <v>41387</v>
      </c>
      <c r="B77" s="37">
        <v>80</v>
      </c>
      <c r="C77" s="37"/>
      <c r="D77" s="37">
        <f t="shared" si="0"/>
        <v>13383.16999999998</v>
      </c>
      <c r="E77" s="6" t="s">
        <v>505</v>
      </c>
      <c r="F77" s="61" t="s">
        <v>151</v>
      </c>
      <c r="G77" s="61" t="s">
        <v>150</v>
      </c>
      <c r="H77" s="61" t="s">
        <v>151</v>
      </c>
      <c r="I77" s="1">
        <f>VLOOKUP($H77,$H$256:$I$308,2,0)</f>
        <v>16</v>
      </c>
    </row>
    <row r="78" spans="1:9">
      <c r="A78" s="5">
        <v>41387</v>
      </c>
      <c r="B78" s="37"/>
      <c r="C78" s="37">
        <v>-2.62</v>
      </c>
      <c r="D78" s="37">
        <f t="shared" si="0"/>
        <v>13380.549999999979</v>
      </c>
      <c r="E78" s="6" t="s">
        <v>494</v>
      </c>
      <c r="F78" s="61" t="s">
        <v>322</v>
      </c>
      <c r="G78" s="61" t="s">
        <v>150</v>
      </c>
      <c r="H78" s="61" t="s">
        <v>136</v>
      </c>
      <c r="I78" s="1">
        <f>VLOOKUP($H78,$H$256:$I$308,2,0)</f>
        <v>4</v>
      </c>
    </row>
    <row r="79" spans="1:9">
      <c r="A79" s="5">
        <v>41388</v>
      </c>
      <c r="B79" s="37">
        <v>250</v>
      </c>
      <c r="C79" s="37"/>
      <c r="D79" s="37">
        <f t="shared" si="0"/>
        <v>13630.549999999979</v>
      </c>
      <c r="E79" s="6" t="s">
        <v>512</v>
      </c>
      <c r="F79" s="6" t="s">
        <v>513</v>
      </c>
      <c r="G79" s="6" t="s">
        <v>425</v>
      </c>
      <c r="H79" s="6" t="s">
        <v>514</v>
      </c>
      <c r="I79" s="1">
        <f>VLOOKUP($H79,$H$256:$I$308,2,0)</f>
        <v>5140</v>
      </c>
    </row>
    <row r="80" spans="1:9">
      <c r="A80" s="5">
        <v>41388</v>
      </c>
      <c r="B80" s="41">
        <v>403.1</v>
      </c>
      <c r="C80" s="37"/>
      <c r="D80" s="37">
        <f t="shared" si="0"/>
        <v>14033.64999999998</v>
      </c>
      <c r="E80" s="6" t="s">
        <v>509</v>
      </c>
      <c r="F80" s="6" t="s">
        <v>510</v>
      </c>
      <c r="G80" s="6" t="s">
        <v>425</v>
      </c>
      <c r="H80" s="6" t="s">
        <v>511</v>
      </c>
      <c r="I80" s="1">
        <f>VLOOKUP($H80,$H$256:$I$308,2,0)</f>
        <v>23</v>
      </c>
    </row>
    <row r="81" spans="1:9">
      <c r="A81" s="5">
        <v>41388</v>
      </c>
      <c r="B81" s="37"/>
      <c r="C81" s="37">
        <v>-250</v>
      </c>
      <c r="D81" s="37">
        <f t="shared" si="0"/>
        <v>13783.64999999998</v>
      </c>
      <c r="E81" s="6" t="s">
        <v>507</v>
      </c>
      <c r="F81" s="6" t="s">
        <v>454</v>
      </c>
      <c r="G81" s="6" t="s">
        <v>425</v>
      </c>
      <c r="H81" s="6" t="s">
        <v>515</v>
      </c>
      <c r="I81" s="1">
        <f>VLOOKUP($H81,$H$256:$I$308,2,0)</f>
        <v>5140</v>
      </c>
    </row>
    <row r="82" spans="1:9">
      <c r="A82" s="5">
        <v>41388</v>
      </c>
      <c r="B82" s="37">
        <v>244</v>
      </c>
      <c r="C82" s="37"/>
      <c r="D82" s="37">
        <f t="shared" si="0"/>
        <v>14027.64999999998</v>
      </c>
      <c r="E82" s="6" t="s">
        <v>507</v>
      </c>
      <c r="F82" s="6" t="s">
        <v>455</v>
      </c>
      <c r="G82" s="6" t="s">
        <v>425</v>
      </c>
      <c r="H82" s="6" t="s">
        <v>515</v>
      </c>
      <c r="I82" s="1">
        <f>VLOOKUP($H82,$H$256:$I$308,2,0)</f>
        <v>5140</v>
      </c>
    </row>
    <row r="83" spans="1:9">
      <c r="A83" s="5">
        <v>41389</v>
      </c>
      <c r="B83" s="37">
        <v>100</v>
      </c>
      <c r="C83" s="37"/>
      <c r="D83" s="37">
        <f t="shared" si="0"/>
        <v>14127.64999999998</v>
      </c>
      <c r="E83" s="6" t="s">
        <v>506</v>
      </c>
      <c r="F83" s="61" t="s">
        <v>151</v>
      </c>
      <c r="G83" s="61" t="s">
        <v>150</v>
      </c>
      <c r="H83" s="61" t="s">
        <v>151</v>
      </c>
      <c r="I83" s="1">
        <f>VLOOKUP($H83,$H$256:$I$308,2,0)</f>
        <v>16</v>
      </c>
    </row>
    <row r="84" spans="1:9">
      <c r="A84" s="5">
        <v>41389</v>
      </c>
      <c r="B84" s="37"/>
      <c r="C84" s="37">
        <v>-3.2</v>
      </c>
      <c r="D84" s="37">
        <f t="shared" si="0"/>
        <v>14124.449999999979</v>
      </c>
      <c r="E84" s="6" t="s">
        <v>494</v>
      </c>
      <c r="F84" s="61" t="s">
        <v>322</v>
      </c>
      <c r="G84" s="61" t="s">
        <v>150</v>
      </c>
      <c r="H84" s="61" t="s">
        <v>136</v>
      </c>
      <c r="I84" s="1">
        <f>VLOOKUP($H84,$H$256:$I$308,2,0)</f>
        <v>4</v>
      </c>
    </row>
    <row r="85" spans="1:9">
      <c r="A85" s="5">
        <v>41394</v>
      </c>
      <c r="B85" s="38">
        <v>7.0000000000000007E-2</v>
      </c>
      <c r="C85" s="38"/>
      <c r="D85" s="37">
        <f t="shared" si="0"/>
        <v>14124.519999999979</v>
      </c>
      <c r="E85" s="6" t="s">
        <v>507</v>
      </c>
      <c r="F85" s="6" t="s">
        <v>508</v>
      </c>
      <c r="G85" s="6" t="s">
        <v>425</v>
      </c>
      <c r="H85" s="6" t="s">
        <v>508</v>
      </c>
      <c r="I85" s="1">
        <f>VLOOKUP($H85,$H$256:$I$308,2,0)</f>
        <v>12</v>
      </c>
    </row>
    <row r="86" spans="1:9">
      <c r="A86" s="5">
        <v>41402</v>
      </c>
      <c r="B86" s="38">
        <v>80</v>
      </c>
      <c r="D86" s="37">
        <f t="shared" si="0"/>
        <v>14204.519999999979</v>
      </c>
      <c r="E86" s="6" t="s">
        <v>153</v>
      </c>
      <c r="F86" s="6" t="s">
        <v>154</v>
      </c>
      <c r="G86" s="6" t="s">
        <v>155</v>
      </c>
      <c r="H86" s="6" t="s">
        <v>156</v>
      </c>
      <c r="I86" s="1">
        <f>VLOOKUP($H86,$H$256:$I$308,2,0)</f>
        <v>16</v>
      </c>
    </row>
    <row r="87" spans="1:9">
      <c r="A87" s="5">
        <v>41402</v>
      </c>
      <c r="B87" s="38"/>
      <c r="C87" s="38">
        <v>-2.62</v>
      </c>
      <c r="D87" s="37">
        <f t="shared" si="0"/>
        <v>14201.899999999978</v>
      </c>
      <c r="E87" s="6" t="s">
        <v>494</v>
      </c>
      <c r="F87" s="63" t="s">
        <v>322</v>
      </c>
      <c r="G87" s="63" t="s">
        <v>150</v>
      </c>
      <c r="H87" s="63" t="s">
        <v>136</v>
      </c>
      <c r="I87" s="1">
        <f>VLOOKUP($H87,$H$256:$I$308,2,0)</f>
        <v>4</v>
      </c>
    </row>
    <row r="88" spans="1:9">
      <c r="A88" s="5">
        <v>41403</v>
      </c>
      <c r="B88" s="38">
        <v>100</v>
      </c>
      <c r="C88" s="38"/>
      <c r="D88" s="37">
        <f t="shared" si="0"/>
        <v>14301.899999999978</v>
      </c>
      <c r="E88" s="6" t="s">
        <v>86</v>
      </c>
      <c r="F88" s="6" t="s">
        <v>87</v>
      </c>
      <c r="G88" s="6" t="s">
        <v>155</v>
      </c>
      <c r="H88" s="6" t="s">
        <v>88</v>
      </c>
      <c r="I88" s="1">
        <f>VLOOKUP($H88,$H$256:$I$308,2,0)</f>
        <v>16</v>
      </c>
    </row>
    <row r="89" spans="1:9">
      <c r="A89" s="5">
        <v>41403</v>
      </c>
      <c r="B89" s="38"/>
      <c r="C89" s="38">
        <v>-3.2</v>
      </c>
      <c r="D89" s="37">
        <f t="shared" si="0"/>
        <v>14298.699999999977</v>
      </c>
      <c r="E89" s="6" t="s">
        <v>494</v>
      </c>
      <c r="F89" s="63" t="s">
        <v>322</v>
      </c>
      <c r="G89" s="63" t="s">
        <v>150</v>
      </c>
      <c r="H89" s="63" t="s">
        <v>136</v>
      </c>
      <c r="I89" s="1">
        <f>VLOOKUP($H89,$H$256:$I$308,2,0)</f>
        <v>4</v>
      </c>
    </row>
    <row r="90" spans="1:9">
      <c r="A90" s="5">
        <v>41405</v>
      </c>
      <c r="B90" s="38">
        <v>100</v>
      </c>
      <c r="C90" s="38"/>
      <c r="D90" s="37">
        <f t="shared" si="0"/>
        <v>14398.699999999977</v>
      </c>
      <c r="E90" s="6" t="s">
        <v>89</v>
      </c>
      <c r="F90" s="6" t="s">
        <v>87</v>
      </c>
      <c r="G90" s="6" t="s">
        <v>155</v>
      </c>
      <c r="H90" s="6" t="s">
        <v>87</v>
      </c>
      <c r="I90" s="1">
        <f>VLOOKUP($H90,$H$256:$I$308,2,0)</f>
        <v>16</v>
      </c>
    </row>
    <row r="91" spans="1:9">
      <c r="A91" s="5">
        <v>41405</v>
      </c>
      <c r="B91" s="38"/>
      <c r="C91" s="38">
        <v>-3.2</v>
      </c>
      <c r="D91" s="37">
        <f t="shared" si="0"/>
        <v>14395.499999999976</v>
      </c>
      <c r="E91" s="63" t="s">
        <v>150</v>
      </c>
      <c r="F91" s="63" t="s">
        <v>322</v>
      </c>
      <c r="G91" s="63" t="s">
        <v>150</v>
      </c>
      <c r="H91" s="63" t="s">
        <v>136</v>
      </c>
      <c r="I91" s="1">
        <f>VLOOKUP($H91,$H$256:$I$308,2,0)</f>
        <v>4</v>
      </c>
    </row>
    <row r="92" spans="1:9">
      <c r="A92" s="5">
        <v>41407</v>
      </c>
      <c r="B92" s="37"/>
      <c r="C92" s="37">
        <v>-500</v>
      </c>
      <c r="D92" s="37">
        <f t="shared" si="0"/>
        <v>13895.499999999976</v>
      </c>
      <c r="E92" s="6" t="s">
        <v>462</v>
      </c>
      <c r="F92" s="6" t="s">
        <v>399</v>
      </c>
      <c r="G92" s="6" t="s">
        <v>425</v>
      </c>
      <c r="H92" s="6" t="s">
        <v>400</v>
      </c>
      <c r="I92" s="1">
        <f>VLOOKUP($H92,$H$256:$I$308,2,0)</f>
        <v>503</v>
      </c>
    </row>
    <row r="93" spans="1:9">
      <c r="A93" s="5">
        <v>41409</v>
      </c>
      <c r="B93" s="37">
        <v>80</v>
      </c>
      <c r="C93" s="37"/>
      <c r="D93" s="37">
        <f t="shared" si="0"/>
        <v>13975.499999999976</v>
      </c>
      <c r="E93" s="6" t="s">
        <v>90</v>
      </c>
      <c r="F93" s="6" t="s">
        <v>87</v>
      </c>
      <c r="G93" s="6" t="s">
        <v>155</v>
      </c>
      <c r="H93" s="6" t="s">
        <v>87</v>
      </c>
      <c r="I93" s="1">
        <f>VLOOKUP($H93,$H$256:$I$308,2,0)</f>
        <v>16</v>
      </c>
    </row>
    <row r="94" spans="1:9">
      <c r="A94" s="5">
        <v>41409</v>
      </c>
      <c r="B94" s="37"/>
      <c r="C94" s="37">
        <v>-2.62</v>
      </c>
      <c r="D94" s="37">
        <f t="shared" si="0"/>
        <v>13972.879999999976</v>
      </c>
      <c r="E94" s="63" t="s">
        <v>150</v>
      </c>
      <c r="F94" s="63" t="s">
        <v>322</v>
      </c>
      <c r="G94" s="63" t="s">
        <v>150</v>
      </c>
      <c r="H94" s="63" t="s">
        <v>136</v>
      </c>
      <c r="I94" s="1">
        <f>VLOOKUP($H94,$H$256:$I$308,2,0)</f>
        <v>4</v>
      </c>
    </row>
    <row r="95" spans="1:9">
      <c r="A95" s="5">
        <v>41410</v>
      </c>
      <c r="B95" s="37"/>
      <c r="C95" s="37">
        <v>-25</v>
      </c>
      <c r="D95" s="37">
        <f t="shared" si="0"/>
        <v>13947.879999999976</v>
      </c>
      <c r="E95" s="63" t="s">
        <v>93</v>
      </c>
      <c r="F95" s="6" t="s">
        <v>396</v>
      </c>
      <c r="G95" s="6" t="s">
        <v>425</v>
      </c>
      <c r="H95" s="63" t="s">
        <v>94</v>
      </c>
      <c r="I95" s="1">
        <f>VLOOKUP($H95,$H$256:$I$308,2,0)</f>
        <v>4</v>
      </c>
    </row>
    <row r="96" spans="1:9">
      <c r="A96" s="5">
        <v>41412</v>
      </c>
      <c r="B96" s="37">
        <v>80</v>
      </c>
      <c r="C96" s="37"/>
      <c r="D96" s="37">
        <f t="shared" si="0"/>
        <v>14027.879999999976</v>
      </c>
      <c r="E96" s="6" t="s">
        <v>91</v>
      </c>
      <c r="F96" s="6" t="s">
        <v>87</v>
      </c>
      <c r="G96" s="6" t="s">
        <v>155</v>
      </c>
      <c r="H96" s="6" t="s">
        <v>87</v>
      </c>
      <c r="I96" s="1">
        <f>VLOOKUP($H96,$H$256:$I$308,2,0)</f>
        <v>16</v>
      </c>
    </row>
    <row r="97" spans="1:9">
      <c r="A97" s="5">
        <v>41412</v>
      </c>
      <c r="B97" s="37"/>
      <c r="C97" s="37">
        <v>-2.62</v>
      </c>
      <c r="D97" s="37">
        <f t="shared" si="0"/>
        <v>14025.259999999975</v>
      </c>
      <c r="E97" s="63" t="s">
        <v>150</v>
      </c>
      <c r="F97" s="63" t="s">
        <v>322</v>
      </c>
      <c r="G97" s="63" t="s">
        <v>150</v>
      </c>
      <c r="H97" s="63" t="s">
        <v>136</v>
      </c>
      <c r="I97" s="1">
        <f>VLOOKUP($H97,$H$256:$I$308,2,0)</f>
        <v>4</v>
      </c>
    </row>
    <row r="98" spans="1:9">
      <c r="A98" s="5">
        <v>41423</v>
      </c>
      <c r="B98" s="37">
        <v>100</v>
      </c>
      <c r="C98" s="37"/>
      <c r="D98" s="37">
        <f t="shared" si="0"/>
        <v>14125.259999999975</v>
      </c>
      <c r="E98" s="6" t="s">
        <v>92</v>
      </c>
      <c r="F98" s="6" t="s">
        <v>87</v>
      </c>
      <c r="G98" s="6" t="s">
        <v>155</v>
      </c>
      <c r="H98" s="6" t="s">
        <v>87</v>
      </c>
      <c r="I98" s="1">
        <f>VLOOKUP($H98,$H$256:$I$308,2,0)</f>
        <v>16</v>
      </c>
    </row>
    <row r="99" spans="1:9">
      <c r="A99" s="5">
        <v>41423</v>
      </c>
      <c r="B99" s="37"/>
      <c r="C99" s="37">
        <v>-3.2</v>
      </c>
      <c r="D99" s="37">
        <f t="shared" si="0"/>
        <v>14122.059999999974</v>
      </c>
      <c r="E99" s="63" t="s">
        <v>150</v>
      </c>
      <c r="F99" s="63" t="s">
        <v>322</v>
      </c>
      <c r="G99" s="63" t="s">
        <v>150</v>
      </c>
      <c r="H99" s="63" t="s">
        <v>136</v>
      </c>
      <c r="I99" s="1">
        <f>VLOOKUP($H99,$H$256:$I$308,2,0)</f>
        <v>4</v>
      </c>
    </row>
    <row r="100" spans="1:9">
      <c r="A100" s="5">
        <v>41423</v>
      </c>
      <c r="B100" s="37"/>
      <c r="C100" s="37">
        <v>-30</v>
      </c>
      <c r="D100" s="37">
        <f t="shared" si="0"/>
        <v>14092.059999999974</v>
      </c>
      <c r="E100" s="6" t="s">
        <v>465</v>
      </c>
      <c r="F100" s="6" t="s">
        <v>152</v>
      </c>
      <c r="G100" s="6" t="s">
        <v>425</v>
      </c>
      <c r="H100" s="6" t="s">
        <v>107</v>
      </c>
      <c r="I100" s="1">
        <f>VLOOKUP($H100,$H$256:$I$308,2,0)</f>
        <v>10</v>
      </c>
    </row>
    <row r="101" spans="1:9">
      <c r="A101" s="5">
        <v>41425</v>
      </c>
      <c r="B101" s="37">
        <v>0.08</v>
      </c>
      <c r="C101" s="37"/>
      <c r="D101" s="37">
        <f t="shared" si="0"/>
        <v>14092.139999999974</v>
      </c>
      <c r="E101" s="6" t="s">
        <v>463</v>
      </c>
      <c r="F101" s="6" t="s">
        <v>464</v>
      </c>
      <c r="G101" s="6" t="s">
        <v>425</v>
      </c>
      <c r="H101" s="6" t="s">
        <v>464</v>
      </c>
      <c r="I101" s="1">
        <f>VLOOKUP($H101,$H$256:$I$308,2,0)</f>
        <v>12</v>
      </c>
    </row>
    <row r="102" spans="1:9">
      <c r="A102" s="5">
        <v>41430</v>
      </c>
      <c r="B102" s="37">
        <v>100</v>
      </c>
      <c r="C102" s="37"/>
      <c r="D102" s="37">
        <f t="shared" si="0"/>
        <v>14192.139999999974</v>
      </c>
      <c r="E102" s="6" t="s">
        <v>47</v>
      </c>
      <c r="F102" s="6" t="s">
        <v>48</v>
      </c>
      <c r="G102" s="6" t="s">
        <v>49</v>
      </c>
      <c r="H102" s="6" t="s">
        <v>50</v>
      </c>
      <c r="I102" s="1">
        <f>VLOOKUP($H102,$H$256:$I$308,2,0)</f>
        <v>16</v>
      </c>
    </row>
    <row r="103" spans="1:9">
      <c r="A103" s="5">
        <v>41430</v>
      </c>
      <c r="B103" s="37"/>
      <c r="C103" s="37">
        <v>-3.2</v>
      </c>
      <c r="D103" s="37">
        <f t="shared" si="0"/>
        <v>14188.939999999973</v>
      </c>
      <c r="E103" s="64" t="s">
        <v>150</v>
      </c>
      <c r="F103" s="64" t="s">
        <v>322</v>
      </c>
      <c r="G103" s="64" t="s">
        <v>150</v>
      </c>
      <c r="H103" s="64" t="s">
        <v>136</v>
      </c>
      <c r="I103" s="1">
        <f>VLOOKUP($H103,$H$256:$I$308,2,0)</f>
        <v>4</v>
      </c>
    </row>
    <row r="104" spans="1:9">
      <c r="A104" s="5">
        <v>41431</v>
      </c>
      <c r="B104" s="37">
        <v>80</v>
      </c>
      <c r="C104" s="37"/>
      <c r="D104" s="37">
        <f t="shared" si="0"/>
        <v>14268.939999999973</v>
      </c>
      <c r="E104" s="6" t="s">
        <v>51</v>
      </c>
      <c r="F104" s="6" t="s">
        <v>53</v>
      </c>
      <c r="G104" s="6" t="s">
        <v>49</v>
      </c>
      <c r="H104" s="6" t="s">
        <v>52</v>
      </c>
      <c r="I104" s="1">
        <f>VLOOKUP($H104,$H$256:$I$308,2,0)</f>
        <v>16</v>
      </c>
    </row>
    <row r="105" spans="1:9">
      <c r="A105" s="5">
        <v>41431</v>
      </c>
      <c r="B105" s="37"/>
      <c r="C105" s="37">
        <v>-2.62</v>
      </c>
      <c r="D105" s="37">
        <f t="shared" si="0"/>
        <v>14266.319999999972</v>
      </c>
      <c r="E105" s="64" t="s">
        <v>150</v>
      </c>
      <c r="F105" s="64" t="s">
        <v>322</v>
      </c>
      <c r="G105" s="64" t="s">
        <v>150</v>
      </c>
      <c r="H105" s="64" t="s">
        <v>136</v>
      </c>
      <c r="I105" s="1">
        <f>VLOOKUP($H105,$H$256:$I$308,2,0)</f>
        <v>4</v>
      </c>
    </row>
    <row r="106" spans="1:9">
      <c r="A106" s="5">
        <v>41431</v>
      </c>
      <c r="B106" s="37">
        <v>80</v>
      </c>
      <c r="C106" s="37"/>
      <c r="D106" s="37">
        <f t="shared" si="0"/>
        <v>14346.319999999972</v>
      </c>
      <c r="E106" s="6" t="s">
        <v>175</v>
      </c>
      <c r="F106" s="6" t="s">
        <v>176</v>
      </c>
      <c r="G106" s="6" t="s">
        <v>49</v>
      </c>
      <c r="H106" s="6" t="s">
        <v>177</v>
      </c>
      <c r="I106" s="1">
        <f>VLOOKUP($H106,$H$256:$I$308,2,0)</f>
        <v>16</v>
      </c>
    </row>
    <row r="107" spans="1:9">
      <c r="A107" s="5">
        <v>41431</v>
      </c>
      <c r="B107" s="37"/>
      <c r="C107" s="37">
        <v>-2.62</v>
      </c>
      <c r="D107" s="37">
        <f t="shared" si="0"/>
        <v>14343.699999999972</v>
      </c>
      <c r="E107" s="64" t="s">
        <v>150</v>
      </c>
      <c r="F107" s="64" t="s">
        <v>322</v>
      </c>
      <c r="G107" s="64" t="s">
        <v>150</v>
      </c>
      <c r="H107" s="64" t="s">
        <v>136</v>
      </c>
      <c r="I107" s="1">
        <f>VLOOKUP($H107,$H$256:$I$308,2,0)</f>
        <v>4</v>
      </c>
    </row>
    <row r="108" spans="1:9">
      <c r="A108" s="5">
        <v>41431</v>
      </c>
      <c r="B108" s="37">
        <v>80</v>
      </c>
      <c r="C108" s="37"/>
      <c r="D108" s="37">
        <f t="shared" si="0"/>
        <v>14423.699999999972</v>
      </c>
      <c r="E108" s="6" t="s">
        <v>178</v>
      </c>
      <c r="F108" s="6" t="s">
        <v>53</v>
      </c>
      <c r="G108" s="6" t="s">
        <v>49</v>
      </c>
      <c r="H108" s="6" t="s">
        <v>179</v>
      </c>
      <c r="I108" s="1">
        <f>VLOOKUP($H108,$H$256:$I$308,2,0)</f>
        <v>16</v>
      </c>
    </row>
    <row r="109" spans="1:9">
      <c r="A109" s="5">
        <v>41431</v>
      </c>
      <c r="B109" s="37"/>
      <c r="C109" s="37">
        <v>-2.62</v>
      </c>
      <c r="D109" s="37">
        <f t="shared" si="0"/>
        <v>14421.079999999971</v>
      </c>
      <c r="E109" s="64" t="s">
        <v>150</v>
      </c>
      <c r="F109" s="64" t="s">
        <v>322</v>
      </c>
      <c r="G109" s="64" t="s">
        <v>150</v>
      </c>
      <c r="H109" s="64" t="s">
        <v>136</v>
      </c>
      <c r="I109" s="1">
        <f>VLOOKUP($H109,$H$256:$I$308,2,0)</f>
        <v>4</v>
      </c>
    </row>
    <row r="110" spans="1:9">
      <c r="A110" s="5">
        <v>41431</v>
      </c>
      <c r="B110" s="37">
        <v>80</v>
      </c>
      <c r="C110" s="37"/>
      <c r="D110" s="37">
        <f t="shared" si="0"/>
        <v>14501.079999999971</v>
      </c>
      <c r="E110" s="6" t="s">
        <v>180</v>
      </c>
      <c r="F110" s="6" t="s">
        <v>176</v>
      </c>
      <c r="G110" s="6" t="s">
        <v>181</v>
      </c>
      <c r="H110" s="6" t="s">
        <v>52</v>
      </c>
      <c r="I110" s="1">
        <f>VLOOKUP($H110,$H$256:$I$308,2,0)</f>
        <v>16</v>
      </c>
    </row>
    <row r="111" spans="1:9">
      <c r="A111" s="5">
        <v>41431</v>
      </c>
      <c r="B111" s="37"/>
      <c r="C111" s="37">
        <v>-2.62</v>
      </c>
      <c r="D111" s="37">
        <f t="shared" si="0"/>
        <v>14498.45999999997</v>
      </c>
      <c r="E111" s="64" t="s">
        <v>150</v>
      </c>
      <c r="F111" s="64" t="s">
        <v>322</v>
      </c>
      <c r="G111" s="64" t="s">
        <v>150</v>
      </c>
      <c r="H111" s="64" t="s">
        <v>136</v>
      </c>
      <c r="I111" s="1">
        <f>VLOOKUP($H111,$H$256:$I$308,2,0)</f>
        <v>4</v>
      </c>
    </row>
    <row r="112" spans="1:9">
      <c r="A112" s="5">
        <v>41431</v>
      </c>
      <c r="B112" s="37">
        <v>100</v>
      </c>
      <c r="C112" s="37"/>
      <c r="D112" s="37">
        <f t="shared" si="0"/>
        <v>14598.45999999997</v>
      </c>
      <c r="E112" s="6" t="s">
        <v>182</v>
      </c>
      <c r="F112" s="6" t="s">
        <v>48</v>
      </c>
      <c r="G112" s="6" t="s">
        <v>49</v>
      </c>
      <c r="H112" s="6" t="s">
        <v>52</v>
      </c>
      <c r="I112" s="1">
        <f>VLOOKUP($H112,$H$256:$I$308,2,0)</f>
        <v>16</v>
      </c>
    </row>
    <row r="113" spans="1:254">
      <c r="A113" s="5">
        <v>41431</v>
      </c>
      <c r="B113" s="37"/>
      <c r="C113" s="37">
        <v>-3.2</v>
      </c>
      <c r="D113" s="37">
        <f t="shared" si="0"/>
        <v>14595.259999999969</v>
      </c>
      <c r="E113" s="64" t="s">
        <v>150</v>
      </c>
      <c r="F113" s="64" t="s">
        <v>322</v>
      </c>
      <c r="G113" s="64" t="s">
        <v>150</v>
      </c>
      <c r="H113" s="64" t="s">
        <v>136</v>
      </c>
      <c r="I113" s="1">
        <f>VLOOKUP($H113,$H$256:$I$308,2,0)</f>
        <v>4</v>
      </c>
    </row>
    <row r="114" spans="1:254">
      <c r="A114" s="5">
        <v>41432</v>
      </c>
      <c r="B114" s="37">
        <v>80</v>
      </c>
      <c r="C114" s="37"/>
      <c r="D114" s="37">
        <f t="shared" si="0"/>
        <v>14675.259999999969</v>
      </c>
      <c r="E114" s="6" t="s">
        <v>183</v>
      </c>
      <c r="F114" s="6" t="s">
        <v>176</v>
      </c>
      <c r="G114" s="6" t="s">
        <v>49</v>
      </c>
      <c r="H114" s="6" t="s">
        <v>52</v>
      </c>
      <c r="I114" s="1">
        <f>VLOOKUP($H114,$H$256:$I$308,2,0)</f>
        <v>16</v>
      </c>
    </row>
    <row r="115" spans="1:254">
      <c r="A115" s="5">
        <v>41432</v>
      </c>
      <c r="B115" s="37"/>
      <c r="C115" s="37">
        <v>-2.62</v>
      </c>
      <c r="D115" s="37">
        <f t="shared" si="0"/>
        <v>14672.639999999968</v>
      </c>
      <c r="E115" s="64" t="s">
        <v>150</v>
      </c>
      <c r="F115" s="64" t="s">
        <v>322</v>
      </c>
      <c r="G115" s="64" t="s">
        <v>150</v>
      </c>
      <c r="H115" s="64" t="s">
        <v>136</v>
      </c>
      <c r="I115" s="1">
        <f>VLOOKUP($H115,$H$256:$I$308,2,0)</f>
        <v>4</v>
      </c>
    </row>
    <row r="116" spans="1:254">
      <c r="A116" s="5">
        <v>41432</v>
      </c>
      <c r="B116" s="37">
        <v>100</v>
      </c>
      <c r="C116" s="37"/>
      <c r="D116" s="37">
        <f t="shared" si="0"/>
        <v>14772.639999999968</v>
      </c>
      <c r="E116" s="6" t="s">
        <v>184</v>
      </c>
      <c r="F116" s="6" t="s">
        <v>185</v>
      </c>
      <c r="G116" s="6" t="s">
        <v>49</v>
      </c>
      <c r="H116" s="6" t="s">
        <v>52</v>
      </c>
      <c r="I116" s="1">
        <f>VLOOKUP($H116,$H$256:$I$308,2,0)</f>
        <v>16</v>
      </c>
    </row>
    <row r="117" spans="1:254">
      <c r="A117" s="5">
        <v>41432</v>
      </c>
      <c r="B117" s="39"/>
      <c r="C117" s="39">
        <v>-3.2</v>
      </c>
      <c r="D117" s="37">
        <f t="shared" si="0"/>
        <v>14769.439999999968</v>
      </c>
      <c r="E117" s="64" t="s">
        <v>150</v>
      </c>
      <c r="F117" s="64" t="s">
        <v>322</v>
      </c>
      <c r="G117" s="64" t="s">
        <v>150</v>
      </c>
      <c r="H117" s="64" t="s">
        <v>136</v>
      </c>
      <c r="I117" s="28">
        <v>4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</row>
    <row r="118" spans="1:254">
      <c r="A118" s="5">
        <v>41436</v>
      </c>
      <c r="B118" s="37">
        <v>80</v>
      </c>
      <c r="C118" s="37"/>
      <c r="D118" s="37">
        <f t="shared" si="0"/>
        <v>14849.439999999968</v>
      </c>
      <c r="E118" s="6" t="s">
        <v>186</v>
      </c>
      <c r="F118" s="6" t="s">
        <v>176</v>
      </c>
      <c r="G118" s="6" t="s">
        <v>49</v>
      </c>
      <c r="H118" s="6" t="s">
        <v>52</v>
      </c>
      <c r="I118" s="1">
        <f>VLOOKUP($H118,$H$256:$I$308,2,0)</f>
        <v>16</v>
      </c>
    </row>
    <row r="119" spans="1:254">
      <c r="A119" s="5">
        <v>41436</v>
      </c>
      <c r="B119" s="37"/>
      <c r="C119" s="37">
        <v>-2.62</v>
      </c>
      <c r="D119" s="37">
        <f t="shared" si="0"/>
        <v>14846.819999999967</v>
      </c>
      <c r="E119" s="64" t="s">
        <v>150</v>
      </c>
      <c r="F119" s="64" t="s">
        <v>322</v>
      </c>
      <c r="G119" s="64" t="s">
        <v>150</v>
      </c>
      <c r="H119" s="64" t="s">
        <v>136</v>
      </c>
      <c r="I119" s="1">
        <f>VLOOKUP($H119,$H$256:$I$308,2,0)</f>
        <v>4</v>
      </c>
    </row>
    <row r="120" spans="1:254">
      <c r="A120" s="5">
        <v>41437</v>
      </c>
      <c r="B120" s="37">
        <v>80</v>
      </c>
      <c r="C120" s="37"/>
      <c r="D120" s="37">
        <f t="shared" si="0"/>
        <v>14926.819999999967</v>
      </c>
      <c r="E120" s="6" t="s">
        <v>57</v>
      </c>
      <c r="F120" s="6" t="s">
        <v>176</v>
      </c>
      <c r="G120" s="6" t="s">
        <v>181</v>
      </c>
      <c r="H120" s="6" t="s">
        <v>48</v>
      </c>
      <c r="I120" s="1">
        <f>VLOOKUP($H120,$H$256:$I$308,2,0)</f>
        <v>16</v>
      </c>
    </row>
    <row r="121" spans="1:254">
      <c r="A121" s="5">
        <v>41437</v>
      </c>
      <c r="B121" s="37"/>
      <c r="C121" s="37">
        <v>-2.62</v>
      </c>
      <c r="D121" s="37">
        <f t="shared" si="0"/>
        <v>14924.199999999966</v>
      </c>
      <c r="E121" s="64" t="s">
        <v>150</v>
      </c>
      <c r="F121" s="64" t="s">
        <v>322</v>
      </c>
      <c r="G121" s="64" t="s">
        <v>150</v>
      </c>
      <c r="H121" s="64" t="s">
        <v>136</v>
      </c>
      <c r="I121" s="1">
        <f>VLOOKUP($H121,$H$256:$I$308,2,0)</f>
        <v>4</v>
      </c>
    </row>
    <row r="122" spans="1:254">
      <c r="A122" s="5">
        <v>41437</v>
      </c>
      <c r="B122" s="37">
        <v>80</v>
      </c>
      <c r="C122" s="37"/>
      <c r="D122" s="37">
        <f t="shared" si="0"/>
        <v>15004.199999999966</v>
      </c>
      <c r="E122" s="6" t="s">
        <v>58</v>
      </c>
      <c r="F122" s="6" t="s">
        <v>176</v>
      </c>
      <c r="G122" s="6" t="s">
        <v>49</v>
      </c>
      <c r="H122" s="6" t="s">
        <v>52</v>
      </c>
      <c r="I122" s="1">
        <f>VLOOKUP($H122,$H$256:$I$308,2,0)</f>
        <v>16</v>
      </c>
    </row>
    <row r="123" spans="1:254">
      <c r="A123" s="5">
        <v>41437</v>
      </c>
      <c r="B123" s="37"/>
      <c r="C123" s="37">
        <v>-2.62</v>
      </c>
      <c r="D123" s="37">
        <f t="shared" ref="D123:D190" si="1">D122+B123+C123</f>
        <v>15001.579999999965</v>
      </c>
      <c r="E123" s="64" t="s">
        <v>150</v>
      </c>
      <c r="F123" s="64" t="s">
        <v>322</v>
      </c>
      <c r="G123" s="64" t="s">
        <v>150</v>
      </c>
      <c r="H123" s="64" t="s">
        <v>136</v>
      </c>
      <c r="I123" s="1">
        <f>VLOOKUP($H123,$H$256:$I$308,2,0)</f>
        <v>4</v>
      </c>
    </row>
    <row r="124" spans="1:254">
      <c r="A124" s="5">
        <v>41438</v>
      </c>
      <c r="B124" s="37">
        <v>100</v>
      </c>
      <c r="C124" s="37"/>
      <c r="D124" s="37">
        <f t="shared" si="1"/>
        <v>15101.579999999965</v>
      </c>
      <c r="E124" s="6" t="s">
        <v>59</v>
      </c>
      <c r="F124" s="6" t="s">
        <v>48</v>
      </c>
      <c r="G124" s="6" t="s">
        <v>181</v>
      </c>
      <c r="H124" s="6" t="s">
        <v>52</v>
      </c>
      <c r="I124" s="1">
        <f>VLOOKUP($H124,$H$256:$I$308,2,0)</f>
        <v>16</v>
      </c>
    </row>
    <row r="125" spans="1:254">
      <c r="A125" s="5">
        <v>41438</v>
      </c>
      <c r="B125" s="37"/>
      <c r="C125" s="37">
        <v>-3.2</v>
      </c>
      <c r="D125" s="37">
        <f t="shared" si="1"/>
        <v>15098.379999999965</v>
      </c>
      <c r="E125" s="64" t="s">
        <v>150</v>
      </c>
      <c r="F125" s="64" t="s">
        <v>322</v>
      </c>
      <c r="G125" s="64" t="s">
        <v>150</v>
      </c>
      <c r="H125" s="64" t="s">
        <v>136</v>
      </c>
      <c r="I125" s="1">
        <f>VLOOKUP($H125,$H$256:$I$308,2,0)</f>
        <v>4</v>
      </c>
    </row>
    <row r="126" spans="1:254">
      <c r="A126" s="5">
        <v>41440</v>
      </c>
      <c r="B126" s="37">
        <v>80</v>
      </c>
      <c r="C126" s="37"/>
      <c r="D126" s="37">
        <f t="shared" si="1"/>
        <v>15178.379999999965</v>
      </c>
      <c r="E126" s="29" t="s">
        <v>60</v>
      </c>
      <c r="F126" s="6" t="s">
        <v>176</v>
      </c>
      <c r="G126" s="6" t="s">
        <v>49</v>
      </c>
      <c r="H126" s="12" t="s">
        <v>50</v>
      </c>
      <c r="I126" s="1">
        <f>VLOOKUP($H126,$H$256:$I$308,2,0)</f>
        <v>16</v>
      </c>
    </row>
    <row r="127" spans="1:254">
      <c r="A127" s="5">
        <v>41440</v>
      </c>
      <c r="B127" s="37"/>
      <c r="C127" s="37">
        <v>-3.42</v>
      </c>
      <c r="D127" s="37">
        <f t="shared" si="1"/>
        <v>15174.959999999965</v>
      </c>
      <c r="E127" s="64" t="s">
        <v>150</v>
      </c>
      <c r="F127" s="64" t="s">
        <v>322</v>
      </c>
      <c r="G127" s="64" t="s">
        <v>150</v>
      </c>
      <c r="H127" s="64" t="s">
        <v>136</v>
      </c>
      <c r="I127" s="1">
        <f>VLOOKUP($H127,$H$256:$I$308,2,0)</f>
        <v>4</v>
      </c>
    </row>
    <row r="128" spans="1:254">
      <c r="A128" s="5">
        <v>41442</v>
      </c>
      <c r="B128" s="37">
        <v>80</v>
      </c>
      <c r="C128" s="37"/>
      <c r="D128" s="37">
        <f t="shared" si="1"/>
        <v>15254.959999999965</v>
      </c>
      <c r="E128" s="6" t="s">
        <v>61</v>
      </c>
      <c r="F128" s="6" t="s">
        <v>176</v>
      </c>
      <c r="G128" s="6" t="s">
        <v>49</v>
      </c>
      <c r="H128" s="6" t="s">
        <v>52</v>
      </c>
      <c r="I128" s="1">
        <f>VLOOKUP($H128,$H$256:$I$308,2,0)</f>
        <v>16</v>
      </c>
    </row>
    <row r="129" spans="1:9">
      <c r="A129" s="5">
        <v>41442</v>
      </c>
      <c r="B129" s="39"/>
      <c r="C129" s="39">
        <v>-2.62</v>
      </c>
      <c r="D129" s="37">
        <f t="shared" si="1"/>
        <v>15252.339999999964</v>
      </c>
      <c r="E129" s="64" t="s">
        <v>150</v>
      </c>
      <c r="F129" s="64" t="s">
        <v>322</v>
      </c>
      <c r="G129" s="64" t="s">
        <v>150</v>
      </c>
      <c r="H129" s="64" t="s">
        <v>136</v>
      </c>
      <c r="I129" s="1">
        <f>VLOOKUP($H129,$H$256:$I$308,2,0)</f>
        <v>4</v>
      </c>
    </row>
    <row r="130" spans="1:9">
      <c r="A130" s="5">
        <v>41443</v>
      </c>
      <c r="B130" s="39">
        <v>80</v>
      </c>
      <c r="C130" s="39"/>
      <c r="D130" s="37">
        <f t="shared" si="1"/>
        <v>15332.339999999964</v>
      </c>
      <c r="E130" s="64" t="s">
        <v>62</v>
      </c>
      <c r="F130" s="64" t="s">
        <v>176</v>
      </c>
      <c r="G130" s="64" t="s">
        <v>49</v>
      </c>
      <c r="H130" s="64" t="s">
        <v>52</v>
      </c>
      <c r="I130" s="1">
        <f>VLOOKUP($H130,$H$256:$I$308,2,0)</f>
        <v>16</v>
      </c>
    </row>
    <row r="131" spans="1:9">
      <c r="A131" s="5">
        <v>41443</v>
      </c>
      <c r="B131" s="37"/>
      <c r="C131" s="37">
        <v>-2.62</v>
      </c>
      <c r="D131" s="37">
        <f t="shared" si="1"/>
        <v>15329.719999999963</v>
      </c>
      <c r="E131" s="64" t="s">
        <v>150</v>
      </c>
      <c r="F131" s="64" t="s">
        <v>322</v>
      </c>
      <c r="G131" s="64" t="s">
        <v>150</v>
      </c>
      <c r="H131" s="64" t="s">
        <v>136</v>
      </c>
      <c r="I131" s="1">
        <f>VLOOKUP($H131,$H$256:$I$308,2,0)</f>
        <v>4</v>
      </c>
    </row>
    <row r="132" spans="1:9">
      <c r="A132" s="5">
        <v>41446</v>
      </c>
      <c r="B132" s="37">
        <v>25</v>
      </c>
      <c r="C132" s="37"/>
      <c r="D132" s="37">
        <f t="shared" si="1"/>
        <v>15354.719999999963</v>
      </c>
      <c r="E132" s="6" t="s">
        <v>63</v>
      </c>
      <c r="F132" s="6" t="s">
        <v>48</v>
      </c>
      <c r="G132" s="6" t="s">
        <v>49</v>
      </c>
      <c r="H132" s="6" t="s">
        <v>52</v>
      </c>
      <c r="I132" s="1">
        <f>VLOOKUP($H132,$H$256:$I$308,2,0)</f>
        <v>16</v>
      </c>
    </row>
    <row r="133" spans="1:9">
      <c r="A133" s="5">
        <v>41446</v>
      </c>
      <c r="B133" s="39"/>
      <c r="C133" s="39">
        <v>-1.03</v>
      </c>
      <c r="D133" s="37">
        <f t="shared" si="1"/>
        <v>15353.689999999962</v>
      </c>
      <c r="E133" s="64" t="s">
        <v>150</v>
      </c>
      <c r="F133" s="64" t="s">
        <v>322</v>
      </c>
      <c r="G133" s="64" t="s">
        <v>150</v>
      </c>
      <c r="H133" s="64" t="s">
        <v>136</v>
      </c>
      <c r="I133" s="1">
        <f>VLOOKUP($H133,$H$256:$I$308,2,0)</f>
        <v>4</v>
      </c>
    </row>
    <row r="134" spans="1:9">
      <c r="A134" s="5">
        <v>41449</v>
      </c>
      <c r="B134" s="39">
        <v>150</v>
      </c>
      <c r="C134" s="39"/>
      <c r="D134" s="37">
        <f t="shared" si="1"/>
        <v>15503.689999999962</v>
      </c>
      <c r="E134" s="64" t="s">
        <v>64</v>
      </c>
      <c r="F134" s="64" t="s">
        <v>65</v>
      </c>
      <c r="G134" s="64" t="s">
        <v>49</v>
      </c>
      <c r="H134" s="64" t="s">
        <v>66</v>
      </c>
      <c r="I134" s="1">
        <f>VLOOKUP($H134,$H$256:$I$308,2,0)</f>
        <v>6010</v>
      </c>
    </row>
    <row r="135" spans="1:9">
      <c r="A135" s="5">
        <v>41449</v>
      </c>
      <c r="B135" s="39"/>
      <c r="C135" s="39">
        <v>-4.6500000000000004</v>
      </c>
      <c r="D135" s="37">
        <f t="shared" si="1"/>
        <v>15499.039999999963</v>
      </c>
      <c r="E135" s="64" t="s">
        <v>150</v>
      </c>
      <c r="F135" s="64" t="s">
        <v>322</v>
      </c>
      <c r="G135" s="64" t="s">
        <v>150</v>
      </c>
      <c r="H135" s="64" t="s">
        <v>136</v>
      </c>
      <c r="I135" s="1">
        <f>VLOOKUP($H135,$H$256:$I$308,2,0)</f>
        <v>4</v>
      </c>
    </row>
    <row r="136" spans="1:9">
      <c r="A136" s="5">
        <v>41452</v>
      </c>
      <c r="B136" s="39">
        <v>80</v>
      </c>
      <c r="C136" s="39"/>
      <c r="D136" s="37">
        <f t="shared" si="1"/>
        <v>15579.039999999963</v>
      </c>
      <c r="E136" s="64" t="s">
        <v>67</v>
      </c>
      <c r="F136" s="64" t="s">
        <v>176</v>
      </c>
      <c r="G136" s="64" t="s">
        <v>49</v>
      </c>
      <c r="H136" s="64" t="s">
        <v>52</v>
      </c>
      <c r="I136" s="1">
        <f>VLOOKUP($H136,$H$256:$I$308,2,0)</f>
        <v>16</v>
      </c>
    </row>
    <row r="137" spans="1:9">
      <c r="A137" s="5">
        <v>41452</v>
      </c>
      <c r="B137" s="39"/>
      <c r="C137" s="39">
        <v>-2.62</v>
      </c>
      <c r="D137" s="37">
        <f t="shared" si="1"/>
        <v>15576.419999999962</v>
      </c>
      <c r="E137" s="64" t="s">
        <v>150</v>
      </c>
      <c r="F137" s="64" t="s">
        <v>322</v>
      </c>
      <c r="G137" s="64" t="s">
        <v>150</v>
      </c>
      <c r="H137" s="64" t="s">
        <v>136</v>
      </c>
      <c r="I137" s="1">
        <f>VLOOKUP($H137,$H$256:$I$308,2,0)</f>
        <v>4</v>
      </c>
    </row>
    <row r="138" spans="1:9">
      <c r="A138" s="5">
        <v>41453</v>
      </c>
      <c r="B138" s="39">
        <v>80</v>
      </c>
      <c r="C138" s="39"/>
      <c r="D138" s="37">
        <f t="shared" si="1"/>
        <v>15656.419999999962</v>
      </c>
      <c r="E138" s="6" t="s">
        <v>68</v>
      </c>
      <c r="F138" s="6" t="s">
        <v>176</v>
      </c>
      <c r="G138" s="6" t="s">
        <v>49</v>
      </c>
      <c r="H138" s="6" t="s">
        <v>52</v>
      </c>
      <c r="I138" s="1">
        <f>VLOOKUP($H138,$H$256:$I$308,2,0)</f>
        <v>16</v>
      </c>
    </row>
    <row r="139" spans="1:9">
      <c r="A139" s="5">
        <v>41453</v>
      </c>
      <c r="B139" s="39"/>
      <c r="C139" s="39">
        <v>-2.62</v>
      </c>
      <c r="D139" s="37">
        <f t="shared" si="1"/>
        <v>15653.799999999961</v>
      </c>
      <c r="E139" s="64" t="s">
        <v>150</v>
      </c>
      <c r="F139" s="64" t="s">
        <v>322</v>
      </c>
      <c r="G139" s="64" t="s">
        <v>150</v>
      </c>
      <c r="H139" s="64" t="s">
        <v>136</v>
      </c>
      <c r="I139" s="1">
        <f>VLOOKUP($H139,$H$256:$I$308,2,0)</f>
        <v>4</v>
      </c>
    </row>
    <row r="140" spans="1:9">
      <c r="A140" s="5">
        <v>41455</v>
      </c>
      <c r="B140" s="39">
        <v>7.0000000000000007E-2</v>
      </c>
      <c r="C140" s="39"/>
      <c r="D140" s="37">
        <f t="shared" si="1"/>
        <v>15653.869999999961</v>
      </c>
      <c r="E140" s="6" t="s">
        <v>463</v>
      </c>
      <c r="F140" s="6" t="s">
        <v>464</v>
      </c>
      <c r="G140" s="6" t="s">
        <v>425</v>
      </c>
      <c r="H140" s="6" t="s">
        <v>464</v>
      </c>
      <c r="I140" s="1">
        <f>VLOOKUP($H140,$H$256:$I$308,2,0)</f>
        <v>12</v>
      </c>
    </row>
    <row r="141" spans="1:9">
      <c r="A141" s="5">
        <v>41456</v>
      </c>
      <c r="B141" s="39">
        <v>80</v>
      </c>
      <c r="C141" s="39"/>
      <c r="D141" s="37">
        <f t="shared" si="1"/>
        <v>15733.869999999961</v>
      </c>
      <c r="E141" s="6" t="s">
        <v>69</v>
      </c>
      <c r="F141" s="6" t="s">
        <v>70</v>
      </c>
      <c r="G141" s="6" t="s">
        <v>71</v>
      </c>
      <c r="H141" s="6" t="s">
        <v>50</v>
      </c>
      <c r="I141" s="1">
        <f>VLOOKUP($H141,$H$256:$I$308,2,0)</f>
        <v>16</v>
      </c>
    </row>
    <row r="142" spans="1:9">
      <c r="A142" s="5">
        <v>41456</v>
      </c>
      <c r="B142" s="39"/>
      <c r="C142" s="39">
        <v>-2.62</v>
      </c>
      <c r="D142" s="37">
        <f t="shared" si="1"/>
        <v>15731.24999999996</v>
      </c>
      <c r="E142" s="64" t="s">
        <v>150</v>
      </c>
      <c r="F142" s="64" t="s">
        <v>322</v>
      </c>
      <c r="G142" s="64" t="s">
        <v>150</v>
      </c>
      <c r="H142" s="64" t="s">
        <v>136</v>
      </c>
      <c r="I142" s="1">
        <f>VLOOKUP($H142,$H$256:$I$308,2,0)</f>
        <v>4</v>
      </c>
    </row>
    <row r="143" spans="1:9">
      <c r="A143" s="5">
        <v>41460</v>
      </c>
      <c r="B143" s="39">
        <v>80</v>
      </c>
      <c r="C143" s="39"/>
      <c r="D143" s="37">
        <f t="shared" si="1"/>
        <v>15811.24999999996</v>
      </c>
      <c r="E143" s="6" t="s">
        <v>72</v>
      </c>
      <c r="F143" s="6" t="s">
        <v>176</v>
      </c>
      <c r="G143" s="6" t="s">
        <v>49</v>
      </c>
      <c r="H143" s="6" t="s">
        <v>73</v>
      </c>
      <c r="I143" s="1">
        <f>VLOOKUP($H143,$H$256:$I$308,2,0)</f>
        <v>16</v>
      </c>
    </row>
    <row r="144" spans="1:9">
      <c r="A144" s="5">
        <v>41460</v>
      </c>
      <c r="B144" s="39"/>
      <c r="C144" s="39">
        <v>-2.62</v>
      </c>
      <c r="D144" s="37">
        <f t="shared" si="1"/>
        <v>15808.629999999959</v>
      </c>
      <c r="E144" s="64" t="s">
        <v>150</v>
      </c>
      <c r="F144" s="64" t="s">
        <v>322</v>
      </c>
      <c r="G144" s="64" t="s">
        <v>150</v>
      </c>
      <c r="H144" s="64" t="s">
        <v>136</v>
      </c>
      <c r="I144" s="1">
        <f>VLOOKUP($H144,$H$256:$I$308,2,0)</f>
        <v>4</v>
      </c>
    </row>
    <row r="145" spans="1:9">
      <c r="A145" s="5">
        <v>41460</v>
      </c>
      <c r="B145" s="39">
        <v>150</v>
      </c>
      <c r="C145" s="39"/>
      <c r="D145" s="37">
        <f t="shared" si="1"/>
        <v>15958.629999999959</v>
      </c>
      <c r="E145" s="64" t="s">
        <v>35</v>
      </c>
      <c r="F145" s="64" t="s">
        <v>65</v>
      </c>
      <c r="G145" s="64" t="s">
        <v>49</v>
      </c>
      <c r="H145" s="64" t="s">
        <v>36</v>
      </c>
      <c r="I145" s="1">
        <f>VLOOKUP($H145,$H$256:$I$308,2,0)</f>
        <v>6010</v>
      </c>
    </row>
    <row r="146" spans="1:9">
      <c r="A146" s="5">
        <v>41460</v>
      </c>
      <c r="B146" s="39"/>
      <c r="C146" s="39">
        <v>-4.6500000000000004</v>
      </c>
      <c r="D146" s="37">
        <f t="shared" si="1"/>
        <v>15953.97999999996</v>
      </c>
      <c r="E146" s="64" t="s">
        <v>150</v>
      </c>
      <c r="F146" s="64" t="s">
        <v>322</v>
      </c>
      <c r="G146" s="64" t="s">
        <v>150</v>
      </c>
      <c r="H146" s="64" t="s">
        <v>136</v>
      </c>
      <c r="I146" s="1">
        <f>VLOOKUP($H146,$H$256:$I$308,2,0)</f>
        <v>4</v>
      </c>
    </row>
    <row r="147" spans="1:9">
      <c r="A147" s="5">
        <v>41460</v>
      </c>
      <c r="B147" s="39">
        <v>80</v>
      </c>
      <c r="C147" s="39"/>
      <c r="D147" s="37">
        <f t="shared" si="1"/>
        <v>16033.97999999996</v>
      </c>
      <c r="E147" s="6" t="s">
        <v>74</v>
      </c>
      <c r="F147" s="6" t="s">
        <v>75</v>
      </c>
      <c r="G147" s="6" t="s">
        <v>49</v>
      </c>
      <c r="H147" s="6" t="s">
        <v>52</v>
      </c>
      <c r="I147" s="1">
        <f>VLOOKUP($H147,$H$256:$I$308,2,0)</f>
        <v>16</v>
      </c>
    </row>
    <row r="148" spans="1:9">
      <c r="A148" s="5">
        <v>41460</v>
      </c>
      <c r="B148" s="39"/>
      <c r="C148" s="39">
        <v>-2.62</v>
      </c>
      <c r="D148" s="37">
        <f t="shared" si="1"/>
        <v>16031.359999999959</v>
      </c>
      <c r="E148" s="64" t="s">
        <v>150</v>
      </c>
      <c r="F148" s="64" t="s">
        <v>322</v>
      </c>
      <c r="G148" s="64" t="s">
        <v>150</v>
      </c>
      <c r="H148" s="64" t="s">
        <v>136</v>
      </c>
      <c r="I148" s="1">
        <f>VLOOKUP($H148,$H$256:$I$308,2,0)</f>
        <v>4</v>
      </c>
    </row>
    <row r="149" spans="1:9">
      <c r="A149" s="5">
        <v>41463</v>
      </c>
      <c r="B149" s="39">
        <v>80</v>
      </c>
      <c r="C149" s="39"/>
      <c r="D149" s="37">
        <f t="shared" si="1"/>
        <v>16111.359999999959</v>
      </c>
      <c r="E149" s="6" t="s">
        <v>76</v>
      </c>
      <c r="F149" s="6" t="s">
        <v>176</v>
      </c>
      <c r="G149" s="6" t="s">
        <v>49</v>
      </c>
      <c r="H149" s="6" t="s">
        <v>52</v>
      </c>
      <c r="I149" s="1">
        <f>VLOOKUP($H149,$H$256:$I$308,2,0)</f>
        <v>16</v>
      </c>
    </row>
    <row r="150" spans="1:9">
      <c r="A150" s="5">
        <v>41463</v>
      </c>
      <c r="B150" s="39"/>
      <c r="C150" s="39">
        <v>-2.62</v>
      </c>
      <c r="D150" s="37">
        <f t="shared" si="1"/>
        <v>16108.739999999958</v>
      </c>
      <c r="E150" s="64" t="s">
        <v>150</v>
      </c>
      <c r="F150" s="64" t="s">
        <v>322</v>
      </c>
      <c r="G150" s="64" t="s">
        <v>150</v>
      </c>
      <c r="H150" s="64" t="s">
        <v>136</v>
      </c>
      <c r="I150" s="1">
        <f>VLOOKUP($H150,$H$256:$I$308,2,0)</f>
        <v>4</v>
      </c>
    </row>
    <row r="151" spans="1:9">
      <c r="A151" s="5">
        <v>41463</v>
      </c>
      <c r="B151" s="39">
        <v>100</v>
      </c>
      <c r="C151" s="39"/>
      <c r="D151" s="37">
        <f t="shared" si="1"/>
        <v>16208.739999999958</v>
      </c>
      <c r="E151" s="6" t="s">
        <v>143</v>
      </c>
      <c r="F151" s="6" t="s">
        <v>48</v>
      </c>
      <c r="G151" s="6" t="s">
        <v>49</v>
      </c>
      <c r="H151" s="6" t="s">
        <v>52</v>
      </c>
      <c r="I151" s="1">
        <f>VLOOKUP($H151,$H$256:$I$308,2,0)</f>
        <v>16</v>
      </c>
    </row>
    <row r="152" spans="1:9">
      <c r="A152" s="5">
        <v>41463</v>
      </c>
      <c r="B152" s="39"/>
      <c r="C152" s="39">
        <v>-3.2</v>
      </c>
      <c r="D152" s="37">
        <f t="shared" si="1"/>
        <v>16205.539999999957</v>
      </c>
      <c r="E152" s="64" t="s">
        <v>150</v>
      </c>
      <c r="F152" s="64" t="s">
        <v>322</v>
      </c>
      <c r="G152" s="64" t="s">
        <v>150</v>
      </c>
      <c r="H152" s="64" t="s">
        <v>136</v>
      </c>
      <c r="I152" s="1">
        <f>VLOOKUP($H152,$H$256:$I$308,2,0)</f>
        <v>4</v>
      </c>
    </row>
    <row r="153" spans="1:9">
      <c r="A153" s="30">
        <v>41464</v>
      </c>
      <c r="B153" s="39">
        <v>100</v>
      </c>
      <c r="C153" s="39"/>
      <c r="D153" s="37">
        <f t="shared" si="1"/>
        <v>16305.539999999957</v>
      </c>
      <c r="E153" s="6" t="s">
        <v>144</v>
      </c>
      <c r="F153" s="6" t="s">
        <v>48</v>
      </c>
      <c r="G153" s="6" t="s">
        <v>49</v>
      </c>
      <c r="H153" s="6" t="s">
        <v>52</v>
      </c>
      <c r="I153" s="1">
        <f>VLOOKUP($H153,$H$256:$I$308,2,0)</f>
        <v>16</v>
      </c>
    </row>
    <row r="154" spans="1:9">
      <c r="A154" s="5">
        <v>41464</v>
      </c>
      <c r="B154" s="39"/>
      <c r="C154" s="39">
        <v>-3.2</v>
      </c>
      <c r="D154" s="37">
        <f t="shared" si="1"/>
        <v>16302.339999999956</v>
      </c>
      <c r="E154" s="64" t="s">
        <v>150</v>
      </c>
      <c r="F154" s="64" t="s">
        <v>322</v>
      </c>
      <c r="G154" s="64" t="s">
        <v>150</v>
      </c>
      <c r="H154" s="64" t="s">
        <v>136</v>
      </c>
      <c r="I154" s="1">
        <f>VLOOKUP($H154,$H$256:$I$308,2,0)</f>
        <v>4</v>
      </c>
    </row>
    <row r="155" spans="1:9">
      <c r="A155" s="5">
        <v>41465</v>
      </c>
      <c r="B155" s="39">
        <v>80</v>
      </c>
      <c r="C155" s="39"/>
      <c r="D155" s="37">
        <f t="shared" si="1"/>
        <v>16382.339999999956</v>
      </c>
      <c r="E155" s="6" t="s">
        <v>145</v>
      </c>
      <c r="F155" s="6" t="s">
        <v>176</v>
      </c>
      <c r="G155" s="6" t="s">
        <v>49</v>
      </c>
      <c r="H155" s="6" t="s">
        <v>52</v>
      </c>
      <c r="I155" s="1">
        <f>VLOOKUP($H155,$H$256:$I$308,2,0)</f>
        <v>16</v>
      </c>
    </row>
    <row r="156" spans="1:9">
      <c r="A156" s="5">
        <v>41465</v>
      </c>
      <c r="B156" s="39"/>
      <c r="C156" s="39">
        <v>-2.62</v>
      </c>
      <c r="D156" s="37">
        <f t="shared" si="1"/>
        <v>16379.719999999956</v>
      </c>
      <c r="E156" s="64" t="s">
        <v>150</v>
      </c>
      <c r="F156" s="64" t="s">
        <v>322</v>
      </c>
      <c r="G156" s="64" t="s">
        <v>150</v>
      </c>
      <c r="H156" s="64" t="s">
        <v>136</v>
      </c>
      <c r="I156" s="1">
        <f>VLOOKUP($H156,$H$256:$I$308,2,0)</f>
        <v>4</v>
      </c>
    </row>
    <row r="157" spans="1:9">
      <c r="A157" s="5">
        <v>41472</v>
      </c>
      <c r="B157" s="39">
        <v>253.5</v>
      </c>
      <c r="C157" s="39"/>
      <c r="D157" s="37">
        <f t="shared" si="1"/>
        <v>16633.219999999958</v>
      </c>
      <c r="E157" s="65" t="s">
        <v>24</v>
      </c>
      <c r="F157" s="65" t="s">
        <v>25</v>
      </c>
      <c r="G157" s="6" t="s">
        <v>425</v>
      </c>
      <c r="H157" s="65" t="s">
        <v>514</v>
      </c>
      <c r="I157" s="1">
        <f>VLOOKUP($H157,$H$256:$I$308,2,0)</f>
        <v>5140</v>
      </c>
    </row>
    <row r="158" spans="1:9">
      <c r="A158" s="5">
        <v>41472</v>
      </c>
      <c r="B158" s="39">
        <v>100</v>
      </c>
      <c r="C158" s="39"/>
      <c r="D158" s="37">
        <f t="shared" si="1"/>
        <v>16733.219999999958</v>
      </c>
      <c r="E158" s="6" t="s">
        <v>29</v>
      </c>
      <c r="F158" s="6" t="s">
        <v>48</v>
      </c>
      <c r="G158" s="6" t="s">
        <v>49</v>
      </c>
      <c r="H158" s="6" t="s">
        <v>52</v>
      </c>
      <c r="I158" s="1">
        <f>VLOOKUP($H158,$H$256:$I$308,2,0)</f>
        <v>16</v>
      </c>
    </row>
    <row r="159" spans="1:9">
      <c r="A159" s="5">
        <v>41472</v>
      </c>
      <c r="B159" s="39"/>
      <c r="C159" s="39">
        <v>-3.2</v>
      </c>
      <c r="D159" s="37">
        <f t="shared" si="1"/>
        <v>16730.019999999957</v>
      </c>
      <c r="E159" s="64" t="s">
        <v>150</v>
      </c>
      <c r="F159" s="64" t="s">
        <v>322</v>
      </c>
      <c r="G159" s="64" t="s">
        <v>150</v>
      </c>
      <c r="H159" s="64" t="s">
        <v>136</v>
      </c>
      <c r="I159" s="1">
        <f>VLOOKUP($H159,$H$256:$I$308,2,0)</f>
        <v>4</v>
      </c>
    </row>
    <row r="160" spans="1:9">
      <c r="A160" s="5">
        <v>41479</v>
      </c>
      <c r="B160" s="38">
        <v>100</v>
      </c>
      <c r="C160" s="38"/>
      <c r="D160" s="37">
        <f t="shared" si="1"/>
        <v>16830.019999999957</v>
      </c>
      <c r="E160" s="6" t="s">
        <v>30</v>
      </c>
      <c r="F160" s="6" t="s">
        <v>31</v>
      </c>
      <c r="G160" s="6" t="s">
        <v>49</v>
      </c>
      <c r="H160" s="6" t="s">
        <v>179</v>
      </c>
      <c r="I160" s="1">
        <f>VLOOKUP($H160,$H$256:$I$308,2,0)</f>
        <v>16</v>
      </c>
    </row>
    <row r="161" spans="1:9">
      <c r="A161" s="5">
        <v>41479</v>
      </c>
      <c r="B161" s="37"/>
      <c r="C161" s="37">
        <v>-3.2</v>
      </c>
      <c r="D161" s="37">
        <f t="shared" si="1"/>
        <v>16826.819999999956</v>
      </c>
      <c r="E161" s="64" t="s">
        <v>150</v>
      </c>
      <c r="F161" s="64" t="s">
        <v>322</v>
      </c>
      <c r="G161" s="64" t="s">
        <v>150</v>
      </c>
      <c r="H161" s="64" t="s">
        <v>136</v>
      </c>
      <c r="I161" s="1">
        <f>VLOOKUP($H161,$H$256:$I$308,2,0)</f>
        <v>4</v>
      </c>
    </row>
    <row r="162" spans="1:9">
      <c r="A162" s="5">
        <v>41480</v>
      </c>
      <c r="B162" s="37">
        <v>2600</v>
      </c>
      <c r="C162" s="37"/>
      <c r="D162" s="37">
        <f t="shared" si="1"/>
        <v>19426.819999999956</v>
      </c>
      <c r="E162" s="65" t="s">
        <v>26</v>
      </c>
      <c r="F162" s="65" t="s">
        <v>27</v>
      </c>
      <c r="G162" s="6" t="s">
        <v>425</v>
      </c>
      <c r="H162" s="65" t="s">
        <v>28</v>
      </c>
      <c r="I162" s="1">
        <f>VLOOKUP($H162,$H$256:$I$308,2,0)</f>
        <v>6010</v>
      </c>
    </row>
    <row r="163" spans="1:9">
      <c r="A163" s="5">
        <v>41482</v>
      </c>
      <c r="B163" s="37">
        <v>25</v>
      </c>
      <c r="C163" s="37"/>
      <c r="D163" s="37">
        <f t="shared" si="1"/>
        <v>19451.819999999956</v>
      </c>
      <c r="E163" s="6" t="s">
        <v>32</v>
      </c>
      <c r="F163" s="6" t="s">
        <v>48</v>
      </c>
      <c r="G163" s="6" t="s">
        <v>49</v>
      </c>
      <c r="H163" s="6" t="s">
        <v>52</v>
      </c>
      <c r="I163" s="1">
        <f>VLOOKUP($H163,$H$256:$I$308,2,0)</f>
        <v>16</v>
      </c>
    </row>
    <row r="164" spans="1:9">
      <c r="A164" s="5">
        <v>41482</v>
      </c>
      <c r="B164" s="37"/>
      <c r="C164" s="37">
        <v>-1.03</v>
      </c>
      <c r="D164" s="37">
        <f t="shared" si="1"/>
        <v>19450.789999999957</v>
      </c>
      <c r="E164" s="64" t="s">
        <v>150</v>
      </c>
      <c r="F164" s="64" t="s">
        <v>322</v>
      </c>
      <c r="G164" s="64" t="s">
        <v>150</v>
      </c>
      <c r="H164" s="64" t="s">
        <v>136</v>
      </c>
      <c r="I164" s="1">
        <f>VLOOKUP($H164,$H$256:$I$308,2,0)</f>
        <v>4</v>
      </c>
    </row>
    <row r="165" spans="1:9">
      <c r="A165" s="5">
        <v>41486</v>
      </c>
      <c r="B165" s="37">
        <v>0.08</v>
      </c>
      <c r="C165" s="37"/>
      <c r="D165" s="37">
        <f t="shared" si="1"/>
        <v>19450.869999999959</v>
      </c>
      <c r="E165" s="6" t="s">
        <v>466</v>
      </c>
      <c r="F165" s="6" t="s">
        <v>464</v>
      </c>
      <c r="G165" s="6" t="s">
        <v>425</v>
      </c>
      <c r="H165" s="6" t="s">
        <v>464</v>
      </c>
      <c r="I165" s="1">
        <f>VLOOKUP($H165,$H$256:$I$308,2,0)</f>
        <v>12</v>
      </c>
    </row>
    <row r="166" spans="1:9">
      <c r="A166" s="5">
        <v>41494</v>
      </c>
      <c r="B166" s="39">
        <v>100</v>
      </c>
      <c r="C166" s="39"/>
      <c r="D166" s="37">
        <f t="shared" si="1"/>
        <v>19550.869999999959</v>
      </c>
      <c r="E166" s="64" t="s">
        <v>33</v>
      </c>
      <c r="F166" s="64" t="s">
        <v>48</v>
      </c>
      <c r="G166" s="64" t="s">
        <v>34</v>
      </c>
      <c r="H166" s="6" t="s">
        <v>50</v>
      </c>
      <c r="I166" s="1">
        <f>VLOOKUP($H166,$H$256:$I$308,2,0)</f>
        <v>16</v>
      </c>
    </row>
    <row r="167" spans="1:9">
      <c r="A167" s="5">
        <v>41494</v>
      </c>
      <c r="B167" s="39"/>
      <c r="C167" s="39">
        <v>-3.2</v>
      </c>
      <c r="D167" s="37">
        <f t="shared" si="1"/>
        <v>19547.669999999958</v>
      </c>
      <c r="E167" s="64" t="s">
        <v>150</v>
      </c>
      <c r="F167" s="64" t="s">
        <v>322</v>
      </c>
      <c r="G167" s="64" t="s">
        <v>150</v>
      </c>
      <c r="H167" s="64" t="s">
        <v>136</v>
      </c>
      <c r="I167" s="1">
        <f>VLOOKUP($H167,$H$256:$I$308,2,0)</f>
        <v>4</v>
      </c>
    </row>
    <row r="168" spans="1:9">
      <c r="A168" s="5">
        <v>41505</v>
      </c>
      <c r="B168" s="37">
        <v>-150</v>
      </c>
      <c r="C168" s="37"/>
      <c r="D168" s="37">
        <f t="shared" si="1"/>
        <v>19397.669999999958</v>
      </c>
      <c r="E168" s="6" t="s">
        <v>35</v>
      </c>
      <c r="F168" s="64" t="s">
        <v>37</v>
      </c>
      <c r="G168" s="64" t="s">
        <v>49</v>
      </c>
      <c r="H168" s="6" t="s">
        <v>38</v>
      </c>
      <c r="I168" s="1">
        <f>VLOOKUP($H168,$H$256:$I$308,2,0)</f>
        <v>6010</v>
      </c>
    </row>
    <row r="169" spans="1:9">
      <c r="A169" s="5">
        <v>41505</v>
      </c>
      <c r="B169" s="37"/>
      <c r="C169" s="37">
        <v>4.3499999999999996</v>
      </c>
      <c r="D169" s="37">
        <f t="shared" si="1"/>
        <v>19402.019999999957</v>
      </c>
      <c r="E169" s="64" t="s">
        <v>150</v>
      </c>
      <c r="F169" s="64" t="s">
        <v>39</v>
      </c>
      <c r="G169" s="64" t="s">
        <v>150</v>
      </c>
      <c r="H169" s="64" t="s">
        <v>136</v>
      </c>
      <c r="I169" s="1">
        <f>VLOOKUP($H169,$H$256:$I$308,2,0)</f>
        <v>4</v>
      </c>
    </row>
    <row r="170" spans="1:9">
      <c r="A170" s="5">
        <v>41507</v>
      </c>
      <c r="B170" s="37">
        <v>150</v>
      </c>
      <c r="C170" s="37"/>
      <c r="D170" s="37">
        <f t="shared" si="1"/>
        <v>19552.019999999957</v>
      </c>
      <c r="E170" s="66" t="s">
        <v>113</v>
      </c>
      <c r="F170" s="66" t="s">
        <v>114</v>
      </c>
      <c r="G170" s="66" t="s">
        <v>115</v>
      </c>
      <c r="H170" s="66" t="s">
        <v>116</v>
      </c>
      <c r="I170" s="1">
        <f>VLOOKUP($H170,$H$254:$I$306,2,0)</f>
        <v>6010</v>
      </c>
    </row>
    <row r="171" spans="1:9">
      <c r="A171" s="5">
        <v>41507</v>
      </c>
      <c r="B171" s="37"/>
      <c r="C171" s="37">
        <v>-4.6500000000000004</v>
      </c>
      <c r="D171" s="37">
        <f t="shared" si="1"/>
        <v>19547.369999999955</v>
      </c>
      <c r="E171" s="66" t="s">
        <v>150</v>
      </c>
      <c r="F171" s="66" t="s">
        <v>322</v>
      </c>
      <c r="G171" s="66" t="s">
        <v>150</v>
      </c>
      <c r="H171" s="66" t="s">
        <v>136</v>
      </c>
      <c r="I171" s="1">
        <f>VLOOKUP($H171,$H$254:$I$306,2,0)</f>
        <v>4</v>
      </c>
    </row>
    <row r="172" spans="1:9">
      <c r="A172" s="5">
        <v>41515</v>
      </c>
      <c r="B172" s="37">
        <v>80</v>
      </c>
      <c r="C172" s="37"/>
      <c r="D172" s="37">
        <f t="shared" si="1"/>
        <v>19627.369999999955</v>
      </c>
      <c r="E172" s="66" t="s">
        <v>117</v>
      </c>
      <c r="F172" s="66" t="s">
        <v>118</v>
      </c>
      <c r="G172" s="66" t="s">
        <v>115</v>
      </c>
      <c r="H172" s="66" t="s">
        <v>119</v>
      </c>
      <c r="I172" s="1">
        <f>VLOOKUP($H172,$H$254:$I$306,2,0)</f>
        <v>16</v>
      </c>
    </row>
    <row r="173" spans="1:9">
      <c r="A173" s="5">
        <v>41515</v>
      </c>
      <c r="B173" s="37"/>
      <c r="C173" s="37">
        <v>-2.62</v>
      </c>
      <c r="D173" s="37">
        <f t="shared" si="1"/>
        <v>19624.749999999956</v>
      </c>
      <c r="E173" s="66" t="s">
        <v>150</v>
      </c>
      <c r="F173" s="66" t="s">
        <v>322</v>
      </c>
      <c r="G173" s="66" t="s">
        <v>150</v>
      </c>
      <c r="H173" s="66" t="s">
        <v>136</v>
      </c>
      <c r="I173" s="1">
        <f>VLOOKUP($H173,$H$254:$I$306,2,0)</f>
        <v>4</v>
      </c>
    </row>
    <row r="174" spans="1:9">
      <c r="A174" s="5">
        <v>41516</v>
      </c>
      <c r="B174" s="37">
        <v>0.1</v>
      </c>
      <c r="C174" s="37"/>
      <c r="D174" s="37">
        <f t="shared" si="1"/>
        <v>19624.849999999955</v>
      </c>
      <c r="E174" s="6" t="s">
        <v>459</v>
      </c>
      <c r="F174" s="66" t="s">
        <v>464</v>
      </c>
      <c r="G174" s="6" t="s">
        <v>425</v>
      </c>
      <c r="H174" s="6" t="s">
        <v>464</v>
      </c>
      <c r="I174" s="1">
        <f>VLOOKUP($H174,$H$254:$I$306,2,0)</f>
        <v>12</v>
      </c>
    </row>
    <row r="175" spans="1:9">
      <c r="A175" s="5">
        <v>41519</v>
      </c>
      <c r="B175" s="37">
        <v>25</v>
      </c>
      <c r="C175" s="37"/>
      <c r="D175" s="37">
        <f t="shared" si="1"/>
        <v>19649.849999999955</v>
      </c>
      <c r="E175" s="66" t="s">
        <v>120</v>
      </c>
      <c r="F175" s="66" t="s">
        <v>119</v>
      </c>
      <c r="G175" s="66" t="s">
        <v>115</v>
      </c>
      <c r="H175" s="66" t="s">
        <v>119</v>
      </c>
      <c r="I175" s="1">
        <f>VLOOKUP($H175,$H$254:$I$306,2,0)</f>
        <v>16</v>
      </c>
    </row>
    <row r="176" spans="1:9">
      <c r="A176" s="5">
        <v>41519</v>
      </c>
      <c r="B176" s="37"/>
      <c r="C176" s="37">
        <v>-1.03</v>
      </c>
      <c r="D176" s="37">
        <f t="shared" si="1"/>
        <v>19648.819999999956</v>
      </c>
      <c r="E176" s="66" t="s">
        <v>150</v>
      </c>
      <c r="F176" s="66" t="s">
        <v>322</v>
      </c>
      <c r="G176" s="66" t="s">
        <v>150</v>
      </c>
      <c r="H176" s="66" t="s">
        <v>136</v>
      </c>
      <c r="I176" s="1">
        <f>VLOOKUP($H176,$H$254:$I$306,2,0)</f>
        <v>4</v>
      </c>
    </row>
    <row r="177" spans="1:9">
      <c r="A177" s="30">
        <v>41521</v>
      </c>
      <c r="B177" s="37">
        <v>3600</v>
      </c>
      <c r="C177" s="37"/>
      <c r="D177" s="37">
        <f>D174+B177+C177</f>
        <v>23224.849999999955</v>
      </c>
      <c r="E177" s="66" t="s">
        <v>82</v>
      </c>
      <c r="F177" s="66" t="s">
        <v>500</v>
      </c>
      <c r="G177" s="6" t="s">
        <v>425</v>
      </c>
      <c r="H177" s="6" t="s">
        <v>501</v>
      </c>
      <c r="I177" s="1">
        <f>VLOOKUP($H177,$H$254:$I$306,2,0)</f>
        <v>6010</v>
      </c>
    </row>
    <row r="178" spans="1:9">
      <c r="A178" s="5">
        <v>41521</v>
      </c>
      <c r="B178" s="37">
        <v>25</v>
      </c>
      <c r="C178" s="37"/>
      <c r="D178" s="37">
        <f t="shared" si="1"/>
        <v>23249.849999999955</v>
      </c>
      <c r="E178" s="6" t="s">
        <v>121</v>
      </c>
      <c r="F178" s="6" t="s">
        <v>119</v>
      </c>
      <c r="G178" s="6" t="s">
        <v>115</v>
      </c>
      <c r="H178" s="6" t="s">
        <v>119</v>
      </c>
      <c r="I178" s="1">
        <f>VLOOKUP($H178,$H$254:$I$306,2,0)</f>
        <v>16</v>
      </c>
    </row>
    <row r="179" spans="1:9">
      <c r="A179" s="5">
        <v>41521</v>
      </c>
      <c r="B179" s="37"/>
      <c r="C179" s="37">
        <v>-1.03</v>
      </c>
      <c r="D179" s="37">
        <f t="shared" si="1"/>
        <v>23248.819999999956</v>
      </c>
      <c r="E179" s="66" t="s">
        <v>150</v>
      </c>
      <c r="F179" s="66" t="s">
        <v>322</v>
      </c>
      <c r="G179" s="66" t="s">
        <v>150</v>
      </c>
      <c r="H179" s="66" t="s">
        <v>136</v>
      </c>
      <c r="I179" s="1">
        <f>VLOOKUP($H179,$H$254:$I$306,2,0)</f>
        <v>4</v>
      </c>
    </row>
    <row r="180" spans="1:9">
      <c r="A180" s="5">
        <v>41523</v>
      </c>
      <c r="B180" s="37">
        <v>80</v>
      </c>
      <c r="C180" s="37"/>
      <c r="D180" s="37">
        <f t="shared" si="1"/>
        <v>23328.819999999956</v>
      </c>
      <c r="E180" s="66" t="s">
        <v>122</v>
      </c>
      <c r="F180" s="66" t="s">
        <v>118</v>
      </c>
      <c r="G180" s="66" t="s">
        <v>115</v>
      </c>
      <c r="H180" s="66" t="s">
        <v>119</v>
      </c>
      <c r="I180" s="1">
        <f>VLOOKUP($H180,$H$254:$I$306,2,0)</f>
        <v>16</v>
      </c>
    </row>
    <row r="181" spans="1:9">
      <c r="A181" s="5">
        <v>41523</v>
      </c>
      <c r="B181" s="41"/>
      <c r="C181" s="37">
        <v>-3.42</v>
      </c>
      <c r="D181" s="37">
        <f t="shared" si="1"/>
        <v>23325.399999999958</v>
      </c>
      <c r="E181" s="66" t="s">
        <v>150</v>
      </c>
      <c r="F181" s="66" t="s">
        <v>322</v>
      </c>
      <c r="G181" s="66" t="s">
        <v>150</v>
      </c>
      <c r="H181" s="66" t="s">
        <v>136</v>
      </c>
      <c r="I181" s="1">
        <f>VLOOKUP($H181,$H$254:$I$306,2,0)</f>
        <v>4</v>
      </c>
    </row>
    <row r="182" spans="1:9">
      <c r="A182" s="5">
        <v>41527</v>
      </c>
      <c r="B182" s="37">
        <v>100</v>
      </c>
      <c r="C182" s="37"/>
      <c r="D182" s="37">
        <f t="shared" si="1"/>
        <v>23425.399999999958</v>
      </c>
      <c r="E182" s="66" t="s">
        <v>123</v>
      </c>
      <c r="F182" s="66" t="s">
        <v>119</v>
      </c>
      <c r="G182" s="66" t="s">
        <v>115</v>
      </c>
      <c r="H182" s="66" t="s">
        <v>119</v>
      </c>
      <c r="I182" s="1">
        <f>VLOOKUP($H182,$H$254:$I$306,2,0)</f>
        <v>16</v>
      </c>
    </row>
    <row r="183" spans="1:9">
      <c r="A183" s="5">
        <v>41527</v>
      </c>
      <c r="B183" s="37"/>
      <c r="C183" s="37">
        <v>-3.2</v>
      </c>
      <c r="D183" s="37">
        <f t="shared" si="1"/>
        <v>23422.199999999957</v>
      </c>
      <c r="E183" s="66" t="s">
        <v>150</v>
      </c>
      <c r="F183" s="66" t="s">
        <v>322</v>
      </c>
      <c r="G183" s="66" t="s">
        <v>150</v>
      </c>
      <c r="H183" s="66" t="s">
        <v>136</v>
      </c>
      <c r="I183" s="1">
        <f>VLOOKUP($H183,$H$254:$I$306,2,0)</f>
        <v>4</v>
      </c>
    </row>
    <row r="184" spans="1:9">
      <c r="A184" s="5">
        <v>41547</v>
      </c>
      <c r="B184" s="38">
        <v>0.12</v>
      </c>
      <c r="C184" s="38"/>
      <c r="D184" s="37">
        <f t="shared" si="1"/>
        <v>23422.319999999956</v>
      </c>
      <c r="E184" s="6" t="s">
        <v>0</v>
      </c>
      <c r="F184" s="6" t="s">
        <v>1</v>
      </c>
      <c r="G184" s="6" t="s">
        <v>2</v>
      </c>
      <c r="H184" s="6" t="s">
        <v>1</v>
      </c>
      <c r="I184" s="1">
        <f>VLOOKUP($H184,$H$254:$I$306,2,0)</f>
        <v>12</v>
      </c>
    </row>
    <row r="185" spans="1:9">
      <c r="A185" s="5">
        <v>41564</v>
      </c>
      <c r="B185" s="38">
        <v>200</v>
      </c>
      <c r="C185" s="38"/>
      <c r="D185" s="37">
        <f t="shared" si="1"/>
        <v>23622.319999999956</v>
      </c>
      <c r="E185" s="6" t="s">
        <v>3</v>
      </c>
      <c r="F185" s="6" t="s">
        <v>4</v>
      </c>
      <c r="G185" s="6" t="s">
        <v>5</v>
      </c>
      <c r="H185" s="6" t="s">
        <v>6</v>
      </c>
      <c r="I185" s="1">
        <f>VLOOKUP($H185,$H$256:$I$308,2,0)</f>
        <v>6120</v>
      </c>
    </row>
    <row r="186" spans="1:9">
      <c r="A186" s="5">
        <v>41564</v>
      </c>
      <c r="B186" s="38"/>
      <c r="C186" s="38">
        <v>-8.1</v>
      </c>
      <c r="D186" s="37">
        <f t="shared" si="1"/>
        <v>23614.219999999958</v>
      </c>
      <c r="E186" s="66" t="s">
        <v>150</v>
      </c>
      <c r="F186" s="66" t="s">
        <v>322</v>
      </c>
      <c r="G186" s="66" t="s">
        <v>150</v>
      </c>
      <c r="H186" s="66" t="s">
        <v>136</v>
      </c>
      <c r="I186" s="1">
        <f>VLOOKUP($H186,$H$256:$I$308,2,0)</f>
        <v>4</v>
      </c>
    </row>
    <row r="187" spans="1:9">
      <c r="A187" s="5">
        <v>41566</v>
      </c>
      <c r="B187" s="37">
        <v>100</v>
      </c>
      <c r="C187" s="37"/>
      <c r="D187" s="37">
        <f t="shared" si="1"/>
        <v>23714.219999999958</v>
      </c>
      <c r="E187" s="6" t="s">
        <v>7</v>
      </c>
      <c r="F187" s="6" t="s">
        <v>8</v>
      </c>
      <c r="G187" s="6" t="s">
        <v>5</v>
      </c>
      <c r="H187" s="6" t="s">
        <v>9</v>
      </c>
      <c r="I187" s="1">
        <f>VLOOKUP($H187,$H$256:$I$308,2,0)</f>
        <v>16</v>
      </c>
    </row>
    <row r="188" spans="1:9">
      <c r="A188" s="5">
        <v>41566</v>
      </c>
      <c r="B188" s="37"/>
      <c r="C188" s="37">
        <v>-3.2</v>
      </c>
      <c r="D188" s="37">
        <f t="shared" si="1"/>
        <v>23711.019999999957</v>
      </c>
      <c r="E188" s="66" t="s">
        <v>150</v>
      </c>
      <c r="F188" s="66" t="s">
        <v>322</v>
      </c>
      <c r="G188" s="66" t="s">
        <v>150</v>
      </c>
      <c r="H188" s="66" t="s">
        <v>136</v>
      </c>
      <c r="I188" s="1">
        <f>VLOOKUP($H188,$H$256:$I$308,2,0)</f>
        <v>4</v>
      </c>
    </row>
    <row r="189" spans="1:9">
      <c r="A189" s="5">
        <v>41568</v>
      </c>
      <c r="B189" s="38">
        <v>100</v>
      </c>
      <c r="C189" s="38"/>
      <c r="D189" s="37">
        <f t="shared" si="1"/>
        <v>23811.019999999957</v>
      </c>
      <c r="E189" s="6" t="s">
        <v>13</v>
      </c>
      <c r="F189" s="6" t="s">
        <v>8</v>
      </c>
      <c r="G189" s="6" t="s">
        <v>5</v>
      </c>
      <c r="H189" s="6" t="s">
        <v>10</v>
      </c>
      <c r="I189" s="1">
        <f>VLOOKUP($H189,$H$256:$I$308,2,0)</f>
        <v>16</v>
      </c>
    </row>
    <row r="190" spans="1:9">
      <c r="A190" s="5">
        <v>41568</v>
      </c>
      <c r="B190" s="38"/>
      <c r="C190" s="38">
        <v>-3.2</v>
      </c>
      <c r="D190" s="37">
        <f t="shared" si="1"/>
        <v>23807.819999999956</v>
      </c>
      <c r="E190" s="66" t="s">
        <v>150</v>
      </c>
      <c r="F190" s="66" t="s">
        <v>322</v>
      </c>
      <c r="G190" s="66" t="s">
        <v>150</v>
      </c>
      <c r="H190" s="6" t="s">
        <v>23</v>
      </c>
      <c r="I190" s="1">
        <f>VLOOKUP($H190,$H$256:$I$308,2,0)</f>
        <v>4</v>
      </c>
    </row>
    <row r="191" spans="1:9">
      <c r="A191" s="5">
        <v>41568</v>
      </c>
      <c r="B191" s="38">
        <v>250</v>
      </c>
      <c r="C191" s="38"/>
      <c r="D191" s="37">
        <f t="shared" ref="D191:D196" si="2">D190+B191+C191</f>
        <v>24057.819999999956</v>
      </c>
      <c r="E191" s="66" t="s">
        <v>16</v>
      </c>
      <c r="F191" s="66" t="s">
        <v>20</v>
      </c>
      <c r="G191" s="66" t="s">
        <v>21</v>
      </c>
      <c r="H191" s="6" t="s">
        <v>22</v>
      </c>
      <c r="I191" s="1">
        <f>VLOOKUP($H191,$H$256:$I$308,2,0)</f>
        <v>5140</v>
      </c>
    </row>
    <row r="192" spans="1:9">
      <c r="A192" s="5">
        <v>41568</v>
      </c>
      <c r="B192" s="38">
        <v>-250</v>
      </c>
      <c r="C192" s="38"/>
      <c r="D192" s="37">
        <f t="shared" si="2"/>
        <v>23807.819999999956</v>
      </c>
      <c r="E192" s="66" t="s">
        <v>17</v>
      </c>
      <c r="F192" s="66" t="s">
        <v>20</v>
      </c>
      <c r="G192" s="66" t="s">
        <v>21</v>
      </c>
      <c r="H192" s="6" t="s">
        <v>22</v>
      </c>
      <c r="I192" s="1">
        <f>VLOOKUP($H192,$H$256:$I$308,2,0)</f>
        <v>5140</v>
      </c>
    </row>
    <row r="193" spans="1:9">
      <c r="A193" s="5">
        <v>41568</v>
      </c>
      <c r="B193" s="38">
        <v>246</v>
      </c>
      <c r="C193" s="38"/>
      <c r="D193" s="37">
        <f t="shared" si="2"/>
        <v>24053.819999999956</v>
      </c>
      <c r="E193" s="66" t="s">
        <v>18</v>
      </c>
      <c r="F193" s="66" t="s">
        <v>20</v>
      </c>
      <c r="G193" s="66" t="s">
        <v>21</v>
      </c>
      <c r="H193" s="6" t="s">
        <v>22</v>
      </c>
      <c r="I193" s="1">
        <f>VLOOKUP($H193,$H$256:$I$308,2,0)</f>
        <v>5140</v>
      </c>
    </row>
    <row r="194" spans="1:9">
      <c r="A194" s="5">
        <v>41568</v>
      </c>
      <c r="B194" s="38">
        <f>969.9-250</f>
        <v>719.9</v>
      </c>
      <c r="C194" s="38"/>
      <c r="D194" s="37">
        <f t="shared" si="2"/>
        <v>24773.719999999958</v>
      </c>
      <c r="E194" s="66" t="s">
        <v>19</v>
      </c>
      <c r="F194" s="6" t="s">
        <v>363</v>
      </c>
      <c r="G194" s="66" t="s">
        <v>21</v>
      </c>
      <c r="H194" s="6" t="s">
        <v>237</v>
      </c>
      <c r="I194" s="1">
        <f>VLOOKUP($H194,$H$256:$I$308,2,0)</f>
        <v>23</v>
      </c>
    </row>
    <row r="195" spans="1:9">
      <c r="A195" s="5">
        <v>41571</v>
      </c>
      <c r="B195" s="38">
        <v>80</v>
      </c>
      <c r="C195" s="38"/>
      <c r="D195" s="37">
        <f t="shared" si="2"/>
        <v>24853.719999999958</v>
      </c>
      <c r="E195" s="6" t="s">
        <v>14</v>
      </c>
      <c r="F195" s="6" t="s">
        <v>12</v>
      </c>
      <c r="G195" s="6" t="s">
        <v>5</v>
      </c>
      <c r="H195" s="6" t="s">
        <v>8</v>
      </c>
      <c r="I195" s="1">
        <f>VLOOKUP($H195,$H$256:$I$308,2,0)</f>
        <v>16</v>
      </c>
    </row>
    <row r="196" spans="1:9">
      <c r="A196" s="5">
        <v>41571</v>
      </c>
      <c r="B196" s="37"/>
      <c r="C196" s="37">
        <v>-2.62</v>
      </c>
      <c r="D196" s="37">
        <f t="shared" si="2"/>
        <v>24851.099999999959</v>
      </c>
      <c r="E196" s="66" t="s">
        <v>150</v>
      </c>
      <c r="F196" s="66" t="s">
        <v>322</v>
      </c>
      <c r="G196" s="66" t="s">
        <v>150</v>
      </c>
      <c r="H196" s="66" t="s">
        <v>136</v>
      </c>
      <c r="I196" s="1">
        <f>VLOOKUP($H196,$H$256:$I$308,2,0)</f>
        <v>4</v>
      </c>
    </row>
    <row r="197" spans="1:9">
      <c r="A197" s="5">
        <v>41571</v>
      </c>
      <c r="B197" s="37">
        <v>80</v>
      </c>
      <c r="C197" s="37"/>
      <c r="D197" s="37">
        <f t="shared" ref="D197:D199" si="3">D196+B197+C197</f>
        <v>24931.099999999959</v>
      </c>
      <c r="E197" s="6" t="s">
        <v>15</v>
      </c>
      <c r="F197" s="6" t="s">
        <v>12</v>
      </c>
      <c r="G197" s="6" t="s">
        <v>5</v>
      </c>
      <c r="H197" s="6" t="s">
        <v>11</v>
      </c>
      <c r="I197" s="1">
        <f>VLOOKUP($H197,$H$256:$I$308,2,0)</f>
        <v>16</v>
      </c>
    </row>
    <row r="198" spans="1:9">
      <c r="A198" s="5">
        <v>41571</v>
      </c>
      <c r="B198" s="37"/>
      <c r="C198" s="37">
        <v>-2.62</v>
      </c>
      <c r="D198" s="37">
        <f t="shared" si="3"/>
        <v>24928.47999999996</v>
      </c>
      <c r="E198" s="66" t="s">
        <v>150</v>
      </c>
      <c r="F198" s="66" t="s">
        <v>322</v>
      </c>
      <c r="G198" s="66" t="s">
        <v>150</v>
      </c>
      <c r="H198" s="66" t="s">
        <v>136</v>
      </c>
      <c r="I198" s="1">
        <f>VLOOKUP($H198,$H$256:$I$308,2,0)</f>
        <v>4</v>
      </c>
    </row>
    <row r="199" spans="1:9">
      <c r="A199" s="5">
        <v>41575</v>
      </c>
      <c r="B199" s="37">
        <v>200</v>
      </c>
      <c r="C199" s="37"/>
      <c r="D199" s="37">
        <f t="shared" si="3"/>
        <v>25128.47999999996</v>
      </c>
      <c r="E199" s="6" t="s">
        <v>519</v>
      </c>
      <c r="F199" s="6" t="s">
        <v>520</v>
      </c>
      <c r="G199" s="6" t="s">
        <v>521</v>
      </c>
      <c r="H199" s="6" t="s">
        <v>522</v>
      </c>
      <c r="I199" s="1">
        <f>VLOOKUP($H199,$H$256:$I$308,2,0)</f>
        <v>6210</v>
      </c>
    </row>
    <row r="200" spans="1:9">
      <c r="A200" s="5">
        <v>41575</v>
      </c>
      <c r="B200" s="37"/>
      <c r="C200" s="37">
        <v>-6.1</v>
      </c>
      <c r="D200" s="37">
        <f t="shared" ref="D200:D246" si="4">D199+B200+C200</f>
        <v>25122.379999999961</v>
      </c>
      <c r="E200" s="67" t="s">
        <v>150</v>
      </c>
      <c r="F200" s="67" t="s">
        <v>322</v>
      </c>
      <c r="G200" s="67" t="s">
        <v>150</v>
      </c>
      <c r="H200" s="67" t="s">
        <v>136</v>
      </c>
      <c r="I200" s="1">
        <f>VLOOKUP($H200,$H$256:$I$308,2,0)</f>
        <v>4</v>
      </c>
    </row>
    <row r="201" spans="1:9">
      <c r="A201" s="5">
        <v>41577</v>
      </c>
      <c r="B201" s="37">
        <v>150</v>
      </c>
      <c r="C201" s="37"/>
      <c r="D201" s="37">
        <f t="shared" si="4"/>
        <v>25272.379999999961</v>
      </c>
      <c r="E201" s="6" t="s">
        <v>523</v>
      </c>
      <c r="F201" s="6" t="s">
        <v>524</v>
      </c>
      <c r="G201" s="6" t="s">
        <v>521</v>
      </c>
      <c r="H201" s="6" t="s">
        <v>525</v>
      </c>
      <c r="I201" s="1">
        <f>VLOOKUP($H201,$H$256:$I$308,2,0)</f>
        <v>6010</v>
      </c>
    </row>
    <row r="202" spans="1:9">
      <c r="A202" s="5">
        <v>41577</v>
      </c>
      <c r="B202" s="37"/>
      <c r="C202" s="37">
        <v>-4.6500000000000004</v>
      </c>
      <c r="D202" s="37">
        <f t="shared" si="4"/>
        <v>25267.72999999996</v>
      </c>
      <c r="E202" s="67" t="s">
        <v>150</v>
      </c>
      <c r="F202" s="67" t="s">
        <v>322</v>
      </c>
      <c r="G202" s="67" t="s">
        <v>150</v>
      </c>
      <c r="H202" s="67" t="s">
        <v>136</v>
      </c>
      <c r="I202" s="1">
        <f>VLOOKUP($H202,$H$256:$I$308,2,0)</f>
        <v>4</v>
      </c>
    </row>
    <row r="203" spans="1:9">
      <c r="A203" s="5">
        <v>41578</v>
      </c>
      <c r="B203" s="37">
        <v>100</v>
      </c>
      <c r="C203" s="37"/>
      <c r="D203" s="37">
        <f t="shared" si="4"/>
        <v>25367.72999999996</v>
      </c>
      <c r="E203" s="6" t="s">
        <v>526</v>
      </c>
      <c r="F203" s="6" t="s">
        <v>527</v>
      </c>
      <c r="G203" s="6" t="s">
        <v>521</v>
      </c>
      <c r="H203" s="6" t="s">
        <v>528</v>
      </c>
      <c r="I203" s="1">
        <f>VLOOKUP($H203,$H$256:$I$308,2,0)</f>
        <v>16</v>
      </c>
    </row>
    <row r="204" spans="1:9">
      <c r="A204" s="5">
        <v>41578</v>
      </c>
      <c r="B204" s="37"/>
      <c r="C204" s="37">
        <v>-3.2</v>
      </c>
      <c r="D204" s="37">
        <f t="shared" si="4"/>
        <v>25364.529999999959</v>
      </c>
      <c r="E204" s="67" t="s">
        <v>150</v>
      </c>
      <c r="F204" s="67" t="s">
        <v>322</v>
      </c>
      <c r="G204" s="67" t="s">
        <v>150</v>
      </c>
      <c r="H204" s="67" t="s">
        <v>136</v>
      </c>
      <c r="I204" s="1">
        <f>VLOOKUP($H204,$H$256:$I$308,2,0)</f>
        <v>4</v>
      </c>
    </row>
    <row r="205" spans="1:9">
      <c r="A205" s="5">
        <v>41578</v>
      </c>
      <c r="B205" s="2">
        <v>0.13</v>
      </c>
      <c r="D205" s="37">
        <f t="shared" si="4"/>
        <v>25364.65999999996</v>
      </c>
      <c r="E205" s="6" t="s">
        <v>54</v>
      </c>
      <c r="F205" s="6" t="s">
        <v>55</v>
      </c>
      <c r="G205" s="67" t="s">
        <v>529</v>
      </c>
      <c r="H205" s="6" t="s">
        <v>56</v>
      </c>
      <c r="I205" s="1">
        <f>VLOOKUP($H205,$H$256:$I$308,2,0)</f>
        <v>12</v>
      </c>
    </row>
    <row r="206" spans="1:9">
      <c r="A206" s="5"/>
      <c r="B206" s="37"/>
      <c r="C206" s="37"/>
      <c r="D206" s="37">
        <f t="shared" si="4"/>
        <v>25364.65999999996</v>
      </c>
      <c r="E206" s="6"/>
      <c r="F206" s="6"/>
      <c r="G206" s="6"/>
      <c r="H206" s="6"/>
      <c r="I206" s="1">
        <f>VLOOKUP($H206,$H$256:$I$308,2,0)</f>
        <v>0</v>
      </c>
    </row>
    <row r="207" spans="1:9">
      <c r="A207" s="5"/>
      <c r="B207" s="37"/>
      <c r="C207" s="37"/>
      <c r="D207" s="37">
        <f t="shared" si="4"/>
        <v>25364.65999999996</v>
      </c>
      <c r="E207" s="28"/>
      <c r="F207" s="28"/>
      <c r="G207" s="28"/>
      <c r="H207" s="28"/>
      <c r="I207" s="1">
        <f>VLOOKUP($H207,$H$256:$I$308,2,0)</f>
        <v>0</v>
      </c>
    </row>
    <row r="208" spans="1:9">
      <c r="A208" s="5"/>
      <c r="B208" s="37"/>
      <c r="C208" s="37"/>
      <c r="D208" s="37">
        <f t="shared" si="4"/>
        <v>25364.65999999996</v>
      </c>
      <c r="E208" s="6"/>
      <c r="F208" s="6"/>
      <c r="G208" s="6"/>
      <c r="H208" s="6"/>
      <c r="I208" s="1">
        <f>VLOOKUP($H208,$H$256:$I$308,2,0)</f>
        <v>0</v>
      </c>
    </row>
    <row r="209" spans="1:9">
      <c r="A209" s="5"/>
      <c r="B209" s="37"/>
      <c r="C209" s="37"/>
      <c r="D209" s="37">
        <f t="shared" si="4"/>
        <v>25364.65999999996</v>
      </c>
      <c r="E209" s="28"/>
      <c r="F209" s="28"/>
      <c r="G209" s="28"/>
      <c r="H209" s="28"/>
      <c r="I209" s="1">
        <f>VLOOKUP($H209,$H$256:$I$308,2,0)</f>
        <v>0</v>
      </c>
    </row>
    <row r="210" spans="1:9">
      <c r="A210" s="5"/>
      <c r="B210" s="37"/>
      <c r="C210" s="37"/>
      <c r="D210" s="37">
        <f t="shared" si="4"/>
        <v>25364.65999999996</v>
      </c>
      <c r="E210" s="6"/>
      <c r="F210" s="6"/>
      <c r="G210" s="6"/>
      <c r="H210" s="6"/>
      <c r="I210" s="1">
        <f>VLOOKUP($H210,$H$256:$I$308,2,0)</f>
        <v>0</v>
      </c>
    </row>
    <row r="211" spans="1:9">
      <c r="A211" s="5"/>
      <c r="B211" s="37"/>
      <c r="C211" s="37"/>
      <c r="D211" s="37">
        <f t="shared" si="4"/>
        <v>25364.65999999996</v>
      </c>
      <c r="E211" s="28"/>
      <c r="F211" s="28"/>
      <c r="G211" s="28"/>
      <c r="H211" s="28"/>
      <c r="I211" s="1">
        <f t="shared" ref="I211:I246" si="5">VLOOKUP($H211,$H$256:$I$308,2,0)</f>
        <v>0</v>
      </c>
    </row>
    <row r="212" spans="1:9">
      <c r="A212" s="5"/>
      <c r="B212" s="37"/>
      <c r="C212" s="37"/>
      <c r="D212" s="37">
        <f t="shared" si="4"/>
        <v>25364.65999999996</v>
      </c>
      <c r="E212" s="6"/>
      <c r="F212" s="6"/>
      <c r="G212" s="6"/>
      <c r="H212" s="6"/>
      <c r="I212" s="1">
        <f t="shared" si="5"/>
        <v>0</v>
      </c>
    </row>
    <row r="213" spans="1:9">
      <c r="A213" s="5"/>
      <c r="B213" s="37"/>
      <c r="C213" s="37"/>
      <c r="D213" s="37">
        <f t="shared" si="4"/>
        <v>25364.65999999996</v>
      </c>
      <c r="E213" s="28"/>
      <c r="F213" s="28"/>
      <c r="G213" s="28"/>
      <c r="H213" s="28"/>
      <c r="I213" s="1">
        <f t="shared" si="5"/>
        <v>0</v>
      </c>
    </row>
    <row r="214" spans="1:9">
      <c r="A214" s="5"/>
      <c r="B214" s="37"/>
      <c r="C214" s="37"/>
      <c r="D214" s="37">
        <f t="shared" si="4"/>
        <v>25364.65999999996</v>
      </c>
      <c r="E214" s="6"/>
      <c r="F214" s="6"/>
      <c r="G214" s="6"/>
      <c r="H214" s="6"/>
      <c r="I214" s="1">
        <f t="shared" si="5"/>
        <v>0</v>
      </c>
    </row>
    <row r="215" spans="1:9">
      <c r="A215" s="5"/>
      <c r="B215" s="38"/>
      <c r="C215" s="38"/>
      <c r="D215" s="37">
        <f t="shared" si="4"/>
        <v>25364.65999999996</v>
      </c>
      <c r="E215" s="28"/>
      <c r="F215" s="28"/>
      <c r="G215" s="28"/>
      <c r="H215" s="28"/>
      <c r="I215" s="1">
        <f t="shared" si="5"/>
        <v>0</v>
      </c>
    </row>
    <row r="216" spans="1:9">
      <c r="A216" s="5"/>
      <c r="B216" s="37"/>
      <c r="C216" s="37"/>
      <c r="D216" s="37">
        <f t="shared" si="4"/>
        <v>25364.65999999996</v>
      </c>
      <c r="E216" s="6"/>
      <c r="F216" s="6"/>
      <c r="G216" s="6"/>
      <c r="H216" s="6"/>
      <c r="I216" s="1">
        <f t="shared" si="5"/>
        <v>0</v>
      </c>
    </row>
    <row r="217" spans="1:9">
      <c r="A217" s="5"/>
      <c r="B217" s="37"/>
      <c r="C217" s="37"/>
      <c r="D217" s="37">
        <f t="shared" si="4"/>
        <v>25364.65999999996</v>
      </c>
      <c r="E217" s="28"/>
      <c r="F217" s="28"/>
      <c r="G217" s="28"/>
      <c r="H217" s="28"/>
      <c r="I217" s="1">
        <f t="shared" si="5"/>
        <v>0</v>
      </c>
    </row>
    <row r="218" spans="1:9">
      <c r="A218" s="5"/>
      <c r="B218" s="37"/>
      <c r="C218" s="37"/>
      <c r="D218" s="37">
        <f t="shared" si="4"/>
        <v>25364.65999999996</v>
      </c>
      <c r="E218" s="6"/>
      <c r="F218" s="6"/>
      <c r="G218" s="6"/>
      <c r="H218" s="6"/>
      <c r="I218" s="1">
        <f t="shared" si="5"/>
        <v>0</v>
      </c>
    </row>
    <row r="219" spans="1:9">
      <c r="A219" s="5"/>
      <c r="B219" s="37"/>
      <c r="C219" s="37"/>
      <c r="D219" s="37">
        <f t="shared" si="4"/>
        <v>25364.65999999996</v>
      </c>
      <c r="E219" s="28"/>
      <c r="F219" s="28"/>
      <c r="G219" s="28"/>
      <c r="H219" s="28"/>
      <c r="I219" s="1">
        <f t="shared" si="5"/>
        <v>0</v>
      </c>
    </row>
    <row r="220" spans="1:9">
      <c r="A220" s="5"/>
      <c r="B220" s="37"/>
      <c r="C220" s="37"/>
      <c r="D220" s="37">
        <f t="shared" si="4"/>
        <v>25364.65999999996</v>
      </c>
      <c r="E220" s="6"/>
      <c r="F220" s="6"/>
      <c r="G220" s="6"/>
      <c r="H220" s="6"/>
      <c r="I220" s="1">
        <f t="shared" si="5"/>
        <v>0</v>
      </c>
    </row>
    <row r="221" spans="1:9">
      <c r="A221" s="5"/>
      <c r="B221" s="37"/>
      <c r="C221" s="37"/>
      <c r="D221" s="37">
        <f t="shared" si="4"/>
        <v>25364.65999999996</v>
      </c>
      <c r="E221" s="28"/>
      <c r="F221" s="28"/>
      <c r="G221" s="28"/>
      <c r="H221" s="28"/>
      <c r="I221" s="1">
        <f t="shared" si="5"/>
        <v>0</v>
      </c>
    </row>
    <row r="222" spans="1:9">
      <c r="A222" s="5"/>
      <c r="B222" s="37"/>
      <c r="C222" s="37"/>
      <c r="D222" s="37">
        <f t="shared" si="4"/>
        <v>25364.65999999996</v>
      </c>
      <c r="E222" s="6"/>
      <c r="F222" s="6"/>
      <c r="G222" s="6"/>
      <c r="H222" s="6"/>
      <c r="I222" s="1">
        <f t="shared" si="5"/>
        <v>0</v>
      </c>
    </row>
    <row r="223" spans="1:9">
      <c r="A223" s="5"/>
      <c r="B223" s="37"/>
      <c r="C223" s="37"/>
      <c r="D223" s="37">
        <f t="shared" si="4"/>
        <v>25364.65999999996</v>
      </c>
      <c r="E223" s="6"/>
      <c r="F223" s="6"/>
      <c r="G223" s="6"/>
      <c r="H223" s="6"/>
      <c r="I223" s="1">
        <f t="shared" si="5"/>
        <v>0</v>
      </c>
    </row>
    <row r="224" spans="1:9">
      <c r="A224" s="5"/>
      <c r="B224" s="37"/>
      <c r="C224" s="37"/>
      <c r="D224" s="37">
        <f t="shared" si="4"/>
        <v>25364.65999999996</v>
      </c>
      <c r="E224" s="6"/>
      <c r="F224" s="6"/>
      <c r="G224" s="6"/>
      <c r="H224" s="6"/>
      <c r="I224" s="1">
        <f t="shared" si="5"/>
        <v>0</v>
      </c>
    </row>
    <row r="225" spans="1:9">
      <c r="A225" s="5"/>
      <c r="B225" s="37"/>
      <c r="C225" s="37"/>
      <c r="D225" s="37">
        <f t="shared" si="4"/>
        <v>25364.65999999996</v>
      </c>
      <c r="E225" s="6"/>
      <c r="F225" s="6"/>
      <c r="G225" s="6"/>
      <c r="H225" s="6"/>
      <c r="I225" s="1">
        <f t="shared" si="5"/>
        <v>0</v>
      </c>
    </row>
    <row r="226" spans="1:9">
      <c r="A226" s="5"/>
      <c r="B226" s="37"/>
      <c r="C226" s="37"/>
      <c r="D226" s="37">
        <f t="shared" si="4"/>
        <v>25364.65999999996</v>
      </c>
      <c r="E226" s="6"/>
      <c r="F226" s="6"/>
      <c r="G226" s="6"/>
      <c r="H226" s="6"/>
      <c r="I226" s="1">
        <f t="shared" si="5"/>
        <v>0</v>
      </c>
    </row>
    <row r="227" spans="1:9">
      <c r="A227" s="5"/>
      <c r="B227" s="37"/>
      <c r="C227" s="37"/>
      <c r="D227" s="37">
        <f t="shared" si="4"/>
        <v>25364.65999999996</v>
      </c>
      <c r="E227" s="28"/>
      <c r="F227" s="28"/>
      <c r="G227" s="28"/>
      <c r="H227" s="28"/>
      <c r="I227" s="1">
        <f t="shared" si="5"/>
        <v>0</v>
      </c>
    </row>
    <row r="228" spans="1:9">
      <c r="A228" s="5"/>
      <c r="B228" s="37"/>
      <c r="C228" s="37"/>
      <c r="D228" s="37">
        <f t="shared" si="4"/>
        <v>25364.65999999996</v>
      </c>
      <c r="E228" s="6"/>
      <c r="F228" s="6"/>
      <c r="G228" s="6"/>
      <c r="H228" s="6"/>
      <c r="I228" s="1">
        <f t="shared" si="5"/>
        <v>0</v>
      </c>
    </row>
    <row r="229" spans="1:9">
      <c r="A229" s="5"/>
      <c r="B229" s="37"/>
      <c r="C229" s="37"/>
      <c r="D229" s="37">
        <f t="shared" si="4"/>
        <v>25364.65999999996</v>
      </c>
      <c r="E229" s="28"/>
      <c r="F229" s="28"/>
      <c r="G229" s="28"/>
      <c r="H229" s="28"/>
      <c r="I229" s="1">
        <f t="shared" si="5"/>
        <v>0</v>
      </c>
    </row>
    <row r="230" spans="1:9">
      <c r="A230" s="5"/>
      <c r="B230" s="38"/>
      <c r="C230" s="38"/>
      <c r="D230" s="37">
        <f t="shared" si="4"/>
        <v>25364.65999999996</v>
      </c>
      <c r="E230" s="6"/>
      <c r="F230" s="6"/>
      <c r="G230" s="6"/>
      <c r="H230" s="6"/>
      <c r="I230" s="1">
        <f t="shared" si="5"/>
        <v>0</v>
      </c>
    </row>
    <row r="231" spans="1:9">
      <c r="A231" s="5"/>
      <c r="B231" s="38"/>
      <c r="C231" s="38"/>
      <c r="D231" s="37">
        <f t="shared" si="4"/>
        <v>25364.65999999996</v>
      </c>
      <c r="E231" s="6"/>
      <c r="F231" s="6"/>
      <c r="G231" s="6"/>
      <c r="H231" s="6"/>
      <c r="I231" s="1">
        <f t="shared" si="5"/>
        <v>0</v>
      </c>
    </row>
    <row r="232" spans="1:9">
      <c r="A232" s="5"/>
      <c r="B232" s="38"/>
      <c r="C232" s="38"/>
      <c r="D232" s="37">
        <f t="shared" si="4"/>
        <v>25364.65999999996</v>
      </c>
      <c r="E232" s="6"/>
      <c r="F232" s="6"/>
      <c r="G232" s="6"/>
      <c r="H232" s="6"/>
      <c r="I232" s="1">
        <f t="shared" si="5"/>
        <v>0</v>
      </c>
    </row>
    <row r="233" spans="1:9">
      <c r="A233" s="5"/>
      <c r="B233" s="38"/>
      <c r="C233" s="38"/>
      <c r="D233" s="37">
        <f t="shared" si="4"/>
        <v>25364.65999999996</v>
      </c>
      <c r="E233" s="6"/>
      <c r="F233" s="6"/>
      <c r="G233" s="6"/>
      <c r="H233" s="6"/>
      <c r="I233" s="1">
        <f t="shared" si="5"/>
        <v>0</v>
      </c>
    </row>
    <row r="234" spans="1:9">
      <c r="A234" s="5"/>
      <c r="B234" s="38"/>
      <c r="C234" s="38"/>
      <c r="D234" s="37">
        <f t="shared" si="4"/>
        <v>25364.65999999996</v>
      </c>
      <c r="E234" s="6"/>
      <c r="F234" s="6"/>
      <c r="G234" s="6"/>
      <c r="H234" s="6"/>
      <c r="I234" s="1">
        <f t="shared" si="5"/>
        <v>0</v>
      </c>
    </row>
    <row r="235" spans="1:9">
      <c r="A235" s="5"/>
      <c r="B235" s="38"/>
      <c r="C235" s="38"/>
      <c r="D235" s="37">
        <f t="shared" si="4"/>
        <v>25364.65999999996</v>
      </c>
      <c r="E235" s="6"/>
      <c r="F235" s="6"/>
      <c r="G235" s="6"/>
      <c r="H235" s="6"/>
      <c r="I235" s="1">
        <f t="shared" si="5"/>
        <v>0</v>
      </c>
    </row>
    <row r="236" spans="1:9">
      <c r="A236" s="5"/>
      <c r="B236" s="38"/>
      <c r="C236" s="38"/>
      <c r="D236" s="37">
        <f t="shared" si="4"/>
        <v>25364.65999999996</v>
      </c>
      <c r="E236" s="6"/>
      <c r="F236" s="6"/>
      <c r="G236" s="6"/>
      <c r="H236" s="6"/>
      <c r="I236" s="1">
        <f t="shared" si="5"/>
        <v>0</v>
      </c>
    </row>
    <row r="237" spans="1:9">
      <c r="A237" s="5"/>
      <c r="B237" s="38"/>
      <c r="C237" s="38"/>
      <c r="D237" s="37">
        <f t="shared" si="4"/>
        <v>25364.65999999996</v>
      </c>
      <c r="E237" s="6"/>
      <c r="F237" s="28"/>
      <c r="G237" s="6"/>
      <c r="H237" s="6"/>
      <c r="I237" s="1">
        <f t="shared" si="5"/>
        <v>0</v>
      </c>
    </row>
    <row r="238" spans="1:9">
      <c r="A238" s="5"/>
      <c r="B238" s="38"/>
      <c r="C238" s="38"/>
      <c r="D238" s="37">
        <f t="shared" si="4"/>
        <v>25364.65999999996</v>
      </c>
      <c r="E238" s="28"/>
      <c r="F238" s="28"/>
      <c r="G238" s="28"/>
      <c r="H238" s="28"/>
      <c r="I238" s="1">
        <f t="shared" si="5"/>
        <v>0</v>
      </c>
    </row>
    <row r="239" spans="1:9">
      <c r="A239" s="5"/>
      <c r="B239" s="37"/>
      <c r="C239" s="37"/>
      <c r="D239" s="37">
        <f t="shared" si="4"/>
        <v>25364.65999999996</v>
      </c>
      <c r="E239" s="6"/>
      <c r="F239" s="6"/>
      <c r="G239" s="6"/>
      <c r="H239" s="6"/>
      <c r="I239" s="1">
        <f t="shared" si="5"/>
        <v>0</v>
      </c>
    </row>
    <row r="240" spans="1:9">
      <c r="A240" s="5"/>
      <c r="B240" s="37"/>
      <c r="C240" s="37"/>
      <c r="D240" s="37">
        <f t="shared" si="4"/>
        <v>25364.65999999996</v>
      </c>
      <c r="E240" s="28"/>
      <c r="F240" s="28"/>
      <c r="G240" s="28"/>
      <c r="H240" s="28"/>
      <c r="I240" s="1">
        <f t="shared" si="5"/>
        <v>0</v>
      </c>
    </row>
    <row r="241" spans="1:10">
      <c r="A241" s="5"/>
      <c r="B241" s="37"/>
      <c r="C241" s="37"/>
      <c r="D241" s="37">
        <f t="shared" si="4"/>
        <v>25364.65999999996</v>
      </c>
      <c r="E241" s="6"/>
      <c r="F241" s="6"/>
      <c r="G241" s="6"/>
      <c r="H241" s="6"/>
      <c r="I241" s="1">
        <f t="shared" si="5"/>
        <v>0</v>
      </c>
    </row>
    <row r="242" spans="1:10">
      <c r="A242" s="5"/>
      <c r="B242" s="37"/>
      <c r="C242" s="37"/>
      <c r="D242" s="37">
        <f t="shared" si="4"/>
        <v>25364.65999999996</v>
      </c>
      <c r="E242" s="6"/>
      <c r="F242" s="6"/>
      <c r="G242" s="6"/>
      <c r="H242" s="6"/>
      <c r="I242" s="1">
        <f t="shared" si="5"/>
        <v>0</v>
      </c>
    </row>
    <row r="243" spans="1:10">
      <c r="A243" s="5"/>
      <c r="B243" s="37"/>
      <c r="C243" s="37"/>
      <c r="D243" s="37">
        <f t="shared" si="4"/>
        <v>25364.65999999996</v>
      </c>
      <c r="E243" s="6"/>
      <c r="F243" s="6"/>
      <c r="G243" s="6"/>
      <c r="H243" s="6"/>
      <c r="I243" s="1">
        <f t="shared" si="5"/>
        <v>0</v>
      </c>
    </row>
    <row r="244" spans="1:10">
      <c r="A244" s="5"/>
      <c r="B244" s="37"/>
      <c r="C244" s="37"/>
      <c r="D244" s="37">
        <f t="shared" si="4"/>
        <v>25364.65999999996</v>
      </c>
      <c r="E244" s="6"/>
      <c r="F244" s="6"/>
      <c r="G244" s="6"/>
      <c r="H244" s="6"/>
      <c r="I244" s="1">
        <f t="shared" si="5"/>
        <v>0</v>
      </c>
    </row>
    <row r="245" spans="1:10">
      <c r="A245" s="5"/>
      <c r="B245" s="38"/>
      <c r="C245" s="38"/>
      <c r="D245" s="37">
        <f t="shared" si="4"/>
        <v>25364.65999999996</v>
      </c>
      <c r="E245" s="6"/>
      <c r="F245" s="6"/>
      <c r="G245" s="6"/>
      <c r="H245" s="6"/>
      <c r="I245" s="1">
        <f t="shared" si="5"/>
        <v>0</v>
      </c>
    </row>
    <row r="246" spans="1:10">
      <c r="A246" s="5"/>
      <c r="B246" s="37"/>
      <c r="C246" s="37"/>
      <c r="D246" s="37">
        <f t="shared" si="4"/>
        <v>25364.65999999996</v>
      </c>
      <c r="E246" s="6"/>
      <c r="F246" s="6"/>
      <c r="G246" s="6"/>
      <c r="H246" s="6"/>
      <c r="I246" s="1">
        <f t="shared" si="5"/>
        <v>0</v>
      </c>
    </row>
    <row r="247" spans="1:10">
      <c r="B247" s="37"/>
      <c r="C247" s="37"/>
      <c r="D247" s="37"/>
    </row>
    <row r="248" spans="1:10">
      <c r="B248" s="40">
        <f>SUM(B6:B246)</f>
        <v>43716.25</v>
      </c>
      <c r="C248" s="40">
        <f>SUM(C6:C246)</f>
        <v>-18327.619999999981</v>
      </c>
      <c r="D248" s="40">
        <f>B248+C248</f>
        <v>25388.630000000019</v>
      </c>
    </row>
    <row r="249" spans="1:10">
      <c r="A249" s="77" t="s">
        <v>172</v>
      </c>
      <c r="B249" s="77"/>
      <c r="C249" s="77"/>
      <c r="D249" s="77"/>
      <c r="E249" s="77"/>
      <c r="F249" s="77"/>
      <c r="G249" s="77"/>
      <c r="H249" s="77"/>
      <c r="I249" s="77"/>
    </row>
    <row r="250" spans="1:10">
      <c r="A250" s="8"/>
      <c r="B250" s="9">
        <f>SUM(B251:B252)</f>
        <v>43716.25</v>
      </c>
      <c r="C250" s="9">
        <f>SUM(C251:C252)</f>
        <v>-18327.620000000043</v>
      </c>
      <c r="D250" s="10"/>
      <c r="E250" s="8"/>
      <c r="F250" s="8"/>
      <c r="G250" s="8"/>
      <c r="H250" s="8"/>
      <c r="I250" s="8"/>
    </row>
    <row r="251" spans="1:10">
      <c r="B251" s="34">
        <f>SUMIF($G$6:$G$246,$G251,$B$6:$B$246)</f>
        <v>23966.320000000003</v>
      </c>
      <c r="C251" s="34">
        <f>SUMIF($G$6:$G$246,$G251,$C$6:$C$246)</f>
        <v>-7936.63</v>
      </c>
      <c r="D251" s="34">
        <f>B251+C251</f>
        <v>16029.690000000002</v>
      </c>
      <c r="E251" s="37"/>
      <c r="F251" s="6"/>
      <c r="G251" s="6" t="s">
        <v>425</v>
      </c>
    </row>
    <row r="252" spans="1:10">
      <c r="B252" s="34">
        <f>SUMIF($G$6:$G$246,$G252,$B$6:$B$246)</f>
        <v>19749.93</v>
      </c>
      <c r="C252" s="34">
        <f>SUMIF($G$6:$G$246,$G252,$C$6:$C$246)</f>
        <v>-10390.990000000043</v>
      </c>
      <c r="D252" s="34">
        <f>B252+C252</f>
        <v>9358.9399999999569</v>
      </c>
      <c r="E252" s="37"/>
      <c r="F252" s="2"/>
      <c r="G252" s="6" t="s">
        <v>150</v>
      </c>
      <c r="H252" s="2"/>
    </row>
    <row r="253" spans="1:10">
      <c r="B253" s="34"/>
      <c r="C253" s="34"/>
      <c r="D253" s="34">
        <f>D248-B308</f>
        <v>7924.710000000021</v>
      </c>
      <c r="E253" s="1" t="s">
        <v>173</v>
      </c>
    </row>
    <row r="254" spans="1:10">
      <c r="A254" s="77" t="s">
        <v>174</v>
      </c>
      <c r="B254" s="77"/>
      <c r="C254" s="77"/>
      <c r="D254" s="77"/>
      <c r="E254" s="77"/>
      <c r="F254" s="77"/>
      <c r="G254" s="77"/>
      <c r="H254" s="77"/>
      <c r="I254" s="77"/>
    </row>
    <row r="255" spans="1:10">
      <c r="A255" s="8"/>
      <c r="B255" s="35">
        <f>SUM(B256:B308)</f>
        <v>43716.25</v>
      </c>
      <c r="C255" s="35">
        <f>SUM(C256:C308)</f>
        <v>-18327.62</v>
      </c>
      <c r="D255" s="10"/>
      <c r="E255" s="8"/>
      <c r="F255" s="8"/>
      <c r="G255" s="8"/>
      <c r="H255" s="8"/>
      <c r="I255" s="8"/>
    </row>
    <row r="256" spans="1:10">
      <c r="B256" s="34"/>
      <c r="C256" s="34"/>
      <c r="E256" s="2"/>
      <c r="H256" s="1">
        <v>0</v>
      </c>
      <c r="I256" s="1">
        <v>0</v>
      </c>
      <c r="J256" s="11" t="s">
        <v>426</v>
      </c>
    </row>
    <row r="257" spans="2:10">
      <c r="B257" s="34">
        <f>SUMIF($I$6:$I$246,$I257,$B$6:$B$246)</f>
        <v>0</v>
      </c>
      <c r="C257" s="34">
        <f>SUMIF($I$6:$I$246,$I257,$C$6:$C$246)</f>
        <v>0</v>
      </c>
      <c r="H257" s="6" t="s">
        <v>161</v>
      </c>
      <c r="I257" s="1">
        <v>1</v>
      </c>
      <c r="J257" s="6" t="s">
        <v>361</v>
      </c>
    </row>
    <row r="258" spans="2:10">
      <c r="B258" s="34">
        <f>SUMIF($I$6:$I$246,$I258,$B$6:$B$246)</f>
        <v>0</v>
      </c>
      <c r="C258" s="34">
        <f>SUMIF($I$6:$I$246,$I258,$C$6:$C$246)</f>
        <v>0</v>
      </c>
      <c r="H258" s="6" t="s">
        <v>427</v>
      </c>
      <c r="I258" s="1">
        <v>2</v>
      </c>
      <c r="J258" s="31" t="s">
        <v>263</v>
      </c>
    </row>
    <row r="259" spans="2:10">
      <c r="B259" s="34">
        <f>SUMIF($I$6:$I$246,$I259,$B$6:$B$246)</f>
        <v>0</v>
      </c>
      <c r="C259" s="34">
        <f>SUMIF($I$6:$I$246,$I259,$C$6:$C$246)</f>
        <v>0</v>
      </c>
      <c r="H259" s="6" t="s">
        <v>84</v>
      </c>
      <c r="I259" s="1">
        <v>3</v>
      </c>
      <c r="J259" s="1" t="s">
        <v>84</v>
      </c>
    </row>
    <row r="260" spans="2:10">
      <c r="B260" s="34">
        <f>SUMIF($I$6:$I$246,$I260,$B$6:$B$246)</f>
        <v>5.85</v>
      </c>
      <c r="C260" s="34">
        <f>SUMIF($I$6:$I$246,$I260,$C$6:$C$246)</f>
        <v>-340.98999999999984</v>
      </c>
      <c r="H260" s="6" t="s">
        <v>136</v>
      </c>
      <c r="I260" s="1">
        <v>4</v>
      </c>
      <c r="J260" s="1" t="s">
        <v>283</v>
      </c>
    </row>
    <row r="261" spans="2:10">
      <c r="B261" s="34">
        <f>SUMIF($I$6:$I$236,$I261,$B$6:$B$236)</f>
        <v>0</v>
      </c>
      <c r="C261" s="34">
        <f>SUMIF($I$6:$I$236,$I261,$C$6:$C$236)</f>
        <v>0</v>
      </c>
      <c r="H261" s="12" t="s">
        <v>341</v>
      </c>
      <c r="I261" s="1">
        <v>501</v>
      </c>
      <c r="J261" s="1" t="s">
        <v>236</v>
      </c>
    </row>
    <row r="262" spans="2:10">
      <c r="B262" s="34">
        <f>SUMIF($I$6:$I$236,$I262,$B$6:$B$236)</f>
        <v>0</v>
      </c>
      <c r="C262" s="34">
        <f>SUMIF($I$6:$I$236,$I262,$C$6:$C$236)</f>
        <v>0</v>
      </c>
      <c r="H262" s="12" t="s">
        <v>240</v>
      </c>
      <c r="I262" s="1">
        <v>502</v>
      </c>
      <c r="J262" s="1" t="s">
        <v>236</v>
      </c>
    </row>
    <row r="263" spans="2:10">
      <c r="B263" s="34">
        <f>SUMIF($I$6:$I$236,$I263,$B$6:$B$236)</f>
        <v>0</v>
      </c>
      <c r="C263" s="34">
        <f>SUMIF($I$6:$I$236,$I263,$C$6:$C$236)</f>
        <v>-500</v>
      </c>
      <c r="H263" s="12" t="s">
        <v>401</v>
      </c>
      <c r="I263" s="1">
        <v>503</v>
      </c>
      <c r="J263" s="6" t="s">
        <v>460</v>
      </c>
    </row>
    <row r="264" spans="2:10">
      <c r="B264" s="34">
        <f>SUMIF($I$6:$I$236,$I264,$B$6:$B$236)</f>
        <v>0</v>
      </c>
      <c r="C264" s="34">
        <f>SUMIF($I$6:$I$236,$I264,$C$6:$C$236)</f>
        <v>0</v>
      </c>
      <c r="H264" s="12" t="s">
        <v>443</v>
      </c>
      <c r="I264" s="1">
        <v>5112</v>
      </c>
      <c r="J264" s="1" t="s">
        <v>236</v>
      </c>
    </row>
    <row r="265" spans="2:10">
      <c r="B265" s="34">
        <f>SUMIF($I$6:$I$236,$I265,$B$6:$B$236)</f>
        <v>0</v>
      </c>
      <c r="C265" s="34">
        <f>SUMIF($I$6:$I$236,$I265,$C$6:$C$236)</f>
        <v>0</v>
      </c>
      <c r="H265" s="12" t="s">
        <v>241</v>
      </c>
      <c r="I265" s="1">
        <v>5111</v>
      </c>
      <c r="J265" s="1" t="s">
        <v>236</v>
      </c>
    </row>
    <row r="266" spans="2:10">
      <c r="B266" s="34">
        <f>SUMIF($I$6:$I$236,$I266,$B$6:$B$236)</f>
        <v>0</v>
      </c>
      <c r="C266" s="34">
        <f>SUMIF($I$6:$I$236,$I266,$C$6:$C$236)</f>
        <v>0</v>
      </c>
      <c r="H266" s="12" t="s">
        <v>342</v>
      </c>
      <c r="I266" s="1">
        <v>5110</v>
      </c>
      <c r="J266" s="1" t="s">
        <v>236</v>
      </c>
    </row>
    <row r="267" spans="2:10">
      <c r="B267" s="34">
        <f>SUMIF($I$6:$I$236,$I267,$B$6:$B$236)</f>
        <v>0</v>
      </c>
      <c r="C267" s="34">
        <f>SUMIF($I$6:$I$236,$I267,$C$6:$C$236)</f>
        <v>0</v>
      </c>
      <c r="H267" s="12" t="s">
        <v>242</v>
      </c>
      <c r="I267" s="1">
        <v>5122</v>
      </c>
      <c r="J267" s="1" t="s">
        <v>236</v>
      </c>
    </row>
    <row r="268" spans="2:10">
      <c r="B268" s="34">
        <f>SUMIF($I$6:$I$236,$I268,$B$6:$B$236)</f>
        <v>0</v>
      </c>
      <c r="C268" s="34">
        <f>SUMIF($I$6:$I$236,$I268,$C$6:$C$236)</f>
        <v>0</v>
      </c>
      <c r="H268" s="12" t="s">
        <v>124</v>
      </c>
      <c r="I268" s="1">
        <v>5121</v>
      </c>
      <c r="J268" s="1" t="s">
        <v>236</v>
      </c>
    </row>
    <row r="269" spans="2:10">
      <c r="B269" s="34">
        <f>SUMIF($I$6:$I$236,$I269,$B$6:$B$236)</f>
        <v>0</v>
      </c>
      <c r="C269" s="34">
        <f>SUMIF($I$6:$I$236,$I269,$C$6:$C$236)</f>
        <v>0</v>
      </c>
      <c r="H269" s="12" t="s">
        <v>125</v>
      </c>
      <c r="I269" s="1">
        <v>5120</v>
      </c>
      <c r="J269" s="1" t="s">
        <v>236</v>
      </c>
    </row>
    <row r="270" spans="2:10">
      <c r="B270" s="34">
        <f>SUMIF($I$6:$I$236,$I270,$B$6:$B$236)</f>
        <v>0</v>
      </c>
      <c r="C270" s="34">
        <f>SUMIF($I$6:$I$236,$I270,$C$6:$C$236)</f>
        <v>0</v>
      </c>
      <c r="H270" s="12" t="s">
        <v>126</v>
      </c>
      <c r="I270" s="1">
        <v>5132</v>
      </c>
      <c r="J270" s="1" t="s">
        <v>236</v>
      </c>
    </row>
    <row r="271" spans="2:10">
      <c r="B271" s="34">
        <f>SUMIF($I$6:$I$236,$I271,$B$6:$B$236)</f>
        <v>0</v>
      </c>
      <c r="C271" s="34">
        <f>SUMIF($I$6:$I$236,$I271,$C$6:$C$236)</f>
        <v>0</v>
      </c>
      <c r="H271" s="12" t="s">
        <v>127</v>
      </c>
      <c r="I271" s="1">
        <v>5131</v>
      </c>
      <c r="J271" s="1" t="s">
        <v>236</v>
      </c>
    </row>
    <row r="272" spans="2:10">
      <c r="B272" s="34">
        <f>SUMIF($I$6:$I$236,$I272,$B$6:$B$236)</f>
        <v>0</v>
      </c>
      <c r="C272" s="34">
        <f>SUMIF($I$6:$I$236,$I272,$C$6:$C$236)</f>
        <v>0</v>
      </c>
      <c r="H272" s="12" t="s">
        <v>128</v>
      </c>
      <c r="I272" s="1">
        <v>5130</v>
      </c>
      <c r="J272" s="1" t="s">
        <v>236</v>
      </c>
    </row>
    <row r="273" spans="2:10">
      <c r="B273" s="34">
        <f>SUMIF($I$6:$I$236,$I273,$B$6:$B$236)</f>
        <v>0</v>
      </c>
      <c r="C273" s="34">
        <f>SUMIF($I$6:$I$236,$I273,$C$6:$C$236)</f>
        <v>0</v>
      </c>
      <c r="H273" s="12" t="s">
        <v>368</v>
      </c>
      <c r="I273" s="1">
        <v>5142</v>
      </c>
      <c r="J273" s="1" t="s">
        <v>236</v>
      </c>
    </row>
    <row r="274" spans="2:10">
      <c r="B274" s="34">
        <f>SUMIF($I$6:$I$236,$I274,$B$6:$B$236)</f>
        <v>0</v>
      </c>
      <c r="C274" s="34">
        <f>SUMIF($I$6:$I$236,$I274,$C$6:$C$236)</f>
        <v>0</v>
      </c>
      <c r="H274" s="12" t="s">
        <v>129</v>
      </c>
      <c r="I274" s="1">
        <v>5141</v>
      </c>
      <c r="J274" s="1" t="s">
        <v>236</v>
      </c>
    </row>
    <row r="275" spans="2:10">
      <c r="B275" s="34">
        <f>SUMIF($I$6:$I$236,$I275,$B$6:$B$236)</f>
        <v>993.5</v>
      </c>
      <c r="C275" s="34">
        <f>SUMIF($I$6:$I$236,$I275,$C$6:$C$236)</f>
        <v>-250</v>
      </c>
      <c r="H275" s="12" t="s">
        <v>130</v>
      </c>
      <c r="I275" s="1">
        <v>5140</v>
      </c>
      <c r="J275" s="1" t="s">
        <v>236</v>
      </c>
    </row>
    <row r="276" spans="2:10">
      <c r="B276" s="34">
        <f>SUMIF($I$6:$I$236,$I276,$B$6:$B$236)</f>
        <v>0</v>
      </c>
      <c r="C276" s="34">
        <f>SUMIF($I$6:$I$236,$I276,$C$6:$C$236)</f>
        <v>0</v>
      </c>
      <c r="H276" s="12" t="s">
        <v>131</v>
      </c>
      <c r="I276" s="1">
        <v>5212</v>
      </c>
      <c r="J276" s="1" t="s">
        <v>236</v>
      </c>
    </row>
    <row r="277" spans="2:10">
      <c r="B277" s="34">
        <f>SUMIF($I$6:$I$236,$I277,$B$6:$B$236)</f>
        <v>0</v>
      </c>
      <c r="C277" s="34">
        <f>SUMIF($I$6:$I$236,$I277,$C$6:$C$236)</f>
        <v>0</v>
      </c>
      <c r="H277" s="12" t="s">
        <v>370</v>
      </c>
      <c r="I277" s="1">
        <v>5211</v>
      </c>
      <c r="J277" s="1" t="s">
        <v>236</v>
      </c>
    </row>
    <row r="278" spans="2:10">
      <c r="B278" s="34">
        <f>SUMIF($I$6:$I$236,$I278,$B$6:$B$236)</f>
        <v>0</v>
      </c>
      <c r="C278" s="34">
        <f>SUMIF($I$6:$I$236,$I278,$C$6:$C$236)</f>
        <v>0</v>
      </c>
      <c r="H278" s="12" t="s">
        <v>369</v>
      </c>
      <c r="I278" s="1">
        <v>5210</v>
      </c>
      <c r="J278" s="1" t="s">
        <v>236</v>
      </c>
    </row>
    <row r="279" spans="2:10">
      <c r="B279" s="34">
        <f>SUMIF($I$6:$I$236,$I279,$B$6:$B$236)</f>
        <v>0</v>
      </c>
      <c r="C279" s="34">
        <f>SUMIF($I$6:$I$236,$I279,$C$6:$C$236)</f>
        <v>0</v>
      </c>
      <c r="H279" s="12" t="s">
        <v>132</v>
      </c>
      <c r="I279" s="1">
        <v>5222</v>
      </c>
      <c r="J279" s="1" t="s">
        <v>236</v>
      </c>
    </row>
    <row r="280" spans="2:10">
      <c r="B280" s="34">
        <f>SUMIF($I$6:$I$236,$I280,$B$6:$B$236)</f>
        <v>0</v>
      </c>
      <c r="C280" s="34">
        <f>SUMIF($I$6:$I$236,$I280,$C$6:$C$236)</f>
        <v>0</v>
      </c>
      <c r="H280" s="12" t="s">
        <v>371</v>
      </c>
      <c r="I280" s="1">
        <v>5221</v>
      </c>
      <c r="J280" s="1" t="s">
        <v>236</v>
      </c>
    </row>
    <row r="281" spans="2:10">
      <c r="B281" s="34">
        <f>SUMIF($I$6:$I$236,$I281,$B$6:$B$236)</f>
        <v>0</v>
      </c>
      <c r="C281" s="34">
        <f>SUMIF($I$6:$I$236,$I281,$C$6:$C$236)</f>
        <v>0</v>
      </c>
      <c r="H281" s="12" t="s">
        <v>248</v>
      </c>
      <c r="I281" s="1">
        <v>5220</v>
      </c>
      <c r="J281" s="1" t="s">
        <v>236</v>
      </c>
    </row>
    <row r="282" spans="2:10">
      <c r="B282" s="34">
        <f>SUMIF($I$6:$I$236,$I282,$B$6:$B$236)</f>
        <v>0</v>
      </c>
      <c r="C282" s="34">
        <f>SUMIF($I$6:$I$236,$I282,$C$6:$C$236)</f>
        <v>0</v>
      </c>
      <c r="H282" s="12" t="s">
        <v>249</v>
      </c>
      <c r="I282" s="1">
        <v>6</v>
      </c>
      <c r="J282" s="1" t="s">
        <v>236</v>
      </c>
    </row>
    <row r="283" spans="2:10">
      <c r="B283" s="34">
        <f>SUMIF($I$6:$I$236,$I283,$B$6:$B$236)</f>
        <v>0</v>
      </c>
      <c r="C283" s="34">
        <f>SUMIF($I$6:$I$236,$I283,$C$6:$C$236)</f>
        <v>0</v>
      </c>
      <c r="H283" s="12" t="s">
        <v>516</v>
      </c>
      <c r="I283" s="1">
        <v>6012</v>
      </c>
      <c r="J283" s="1" t="s">
        <v>236</v>
      </c>
    </row>
    <row r="284" spans="2:10">
      <c r="B284" s="34">
        <f>SUMIF($I$6:$I$236,$I284,$B$6:$B$236)</f>
        <v>7100</v>
      </c>
      <c r="C284" s="34">
        <f>SUMIF($I$6:$I$236,$I284,$C$6:$C$236)</f>
        <v>-150</v>
      </c>
      <c r="H284" s="12" t="s">
        <v>250</v>
      </c>
      <c r="I284" s="1">
        <v>6010</v>
      </c>
      <c r="J284" s="1" t="s">
        <v>236</v>
      </c>
    </row>
    <row r="285" spans="2:10">
      <c r="B285" s="34">
        <f>SUMIF($I$6:$I$236,$I285,$B$6:$B$236)</f>
        <v>0</v>
      </c>
      <c r="C285" s="34">
        <f>SUMIF($I$6:$I$236,$I285,$C$6:$C$236)</f>
        <v>0</v>
      </c>
      <c r="H285" s="12" t="s">
        <v>251</v>
      </c>
      <c r="I285" s="1">
        <v>6122</v>
      </c>
      <c r="J285" s="1" t="s">
        <v>236</v>
      </c>
    </row>
    <row r="286" spans="2:10">
      <c r="B286" s="34">
        <f>SUMIF($I$6:$I$236,$I286,$B$6:$B$236)</f>
        <v>200</v>
      </c>
      <c r="C286" s="34">
        <f>SUMIF($I$6:$I$236,$I286,$C$6:$C$236)</f>
        <v>0</v>
      </c>
      <c r="H286" s="12" t="s">
        <v>517</v>
      </c>
      <c r="I286" s="1">
        <v>6120</v>
      </c>
      <c r="J286" s="1" t="s">
        <v>236</v>
      </c>
    </row>
    <row r="287" spans="2:10">
      <c r="B287" s="34">
        <f>SUMIF($I$6:$I$236,$I287,$B$6:$B$236)</f>
        <v>0</v>
      </c>
      <c r="C287" s="34">
        <f>SUMIF($I$6:$I$236,$I287,$C$6:$C$236)</f>
        <v>0</v>
      </c>
      <c r="H287" s="12" t="s">
        <v>252</v>
      </c>
      <c r="I287" s="1">
        <v>6022</v>
      </c>
      <c r="J287" s="1" t="s">
        <v>236</v>
      </c>
    </row>
    <row r="288" spans="2:10">
      <c r="B288" s="34">
        <f>SUMIF($I$6:$I$236,$I288,$B$6:$B$236)</f>
        <v>0</v>
      </c>
      <c r="C288" s="34">
        <f>SUMIF($I$6:$I$236,$I288,$C$6:$C$236)</f>
        <v>0</v>
      </c>
      <c r="H288" s="12" t="s">
        <v>253</v>
      </c>
      <c r="I288" s="1">
        <v>6020</v>
      </c>
      <c r="J288" s="1" t="s">
        <v>236</v>
      </c>
    </row>
    <row r="289" spans="2:10">
      <c r="B289" s="34">
        <f>SUMIF($I$6:$I$236,$I289,$B$6:$B$236)</f>
        <v>0</v>
      </c>
      <c r="C289" s="34">
        <f>SUMIF($I$6:$I$236,$I289,$C$6:$C$236)</f>
        <v>0</v>
      </c>
      <c r="H289" s="12" t="s">
        <v>518</v>
      </c>
      <c r="I289" s="1">
        <v>6212</v>
      </c>
      <c r="J289" s="1" t="s">
        <v>236</v>
      </c>
    </row>
    <row r="290" spans="2:10">
      <c r="B290" s="34">
        <f>SUMIF($I$6:$I$236,$I290,$B$6:$B$236)</f>
        <v>200</v>
      </c>
      <c r="C290" s="34">
        <f>SUMIF($I$6:$I$236,$I290,$C$6:$C$236)</f>
        <v>0</v>
      </c>
      <c r="H290" s="12" t="s">
        <v>254</v>
      </c>
      <c r="I290" s="1">
        <v>6210</v>
      </c>
      <c r="J290" s="1" t="s">
        <v>236</v>
      </c>
    </row>
    <row r="291" spans="2:10">
      <c r="B291" s="34">
        <f>SUMIF($I$6:$I$236,$I291,$B$6:$B$236)</f>
        <v>0</v>
      </c>
      <c r="C291" s="34">
        <f>SUMIF($I$6:$I$236,$I291,$C$6:$C$236)</f>
        <v>0</v>
      </c>
      <c r="H291" s="6" t="s">
        <v>268</v>
      </c>
      <c r="I291" s="1">
        <v>7</v>
      </c>
    </row>
    <row r="292" spans="2:10">
      <c r="B292" s="34">
        <f>SUMIF($I$6:$I$246,$I292,$B$6:$B$246)</f>
        <v>0</v>
      </c>
      <c r="C292" s="34">
        <f>SUMIF($I$6:$I$246,$I292,$C$6:$C$246)</f>
        <v>0</v>
      </c>
      <c r="H292" s="6" t="s">
        <v>262</v>
      </c>
      <c r="I292" s="1">
        <v>8</v>
      </c>
    </row>
    <row r="293" spans="2:10">
      <c r="B293" s="34">
        <f>SUMIF($I$6:$I$246,$I293,$B$6:$B$246)</f>
        <v>0</v>
      </c>
      <c r="C293" s="34">
        <f>SUMIF($I$6:$I$246,$I293,$C$6:$C$246)</f>
        <v>0</v>
      </c>
      <c r="H293" s="6" t="s">
        <v>202</v>
      </c>
      <c r="I293" s="1">
        <v>9</v>
      </c>
    </row>
    <row r="294" spans="2:10">
      <c r="B294" s="34">
        <f>SUMIF($I$6:$I$246,$I294,$B$6:$B$246)</f>
        <v>0</v>
      </c>
      <c r="C294" s="34">
        <f>SUMIF($I$6:$I$246,$I294,$C$6:$C$246)</f>
        <v>-30</v>
      </c>
      <c r="H294" s="6" t="s">
        <v>107</v>
      </c>
      <c r="I294" s="1">
        <v>10</v>
      </c>
      <c r="J294" s="1" t="s">
        <v>263</v>
      </c>
    </row>
    <row r="295" spans="2:10">
      <c r="B295" s="34">
        <f>SUMIF($I$6:$I$246,$I295,$B$6:$B$246)</f>
        <v>0</v>
      </c>
      <c r="C295" s="34">
        <f>SUMIF($I$6:$I$246,$I295,$C$6:$C$246)</f>
        <v>0</v>
      </c>
      <c r="H295" s="6" t="s">
        <v>238</v>
      </c>
      <c r="I295" s="1">
        <v>11</v>
      </c>
      <c r="J295" s="1" t="s">
        <v>263</v>
      </c>
    </row>
    <row r="296" spans="2:10">
      <c r="B296" s="34">
        <f>SUMIF($I$6:$I$246,$I296,$B$6:$B$246)</f>
        <v>0.83000000000000007</v>
      </c>
      <c r="C296" s="34">
        <f>SUMIF($I$6:$I$246,$I296,$C$6:$C$246)</f>
        <v>0</v>
      </c>
      <c r="H296" s="6" t="s">
        <v>265</v>
      </c>
      <c r="I296" s="1">
        <v>12</v>
      </c>
      <c r="J296" s="1" t="s">
        <v>283</v>
      </c>
    </row>
    <row r="297" spans="2:10">
      <c r="B297" s="34">
        <f>SUMIF($I$6:$I$246,$I297,$B$6:$B$246)</f>
        <v>0</v>
      </c>
      <c r="C297" s="34">
        <f>SUMIF($I$6:$I$246,$I297,$C$6:$C$246)</f>
        <v>-7056.63</v>
      </c>
      <c r="H297" s="6" t="s">
        <v>290</v>
      </c>
      <c r="I297" s="1">
        <v>13</v>
      </c>
      <c r="J297" s="1" t="s">
        <v>263</v>
      </c>
    </row>
    <row r="298" spans="2:10">
      <c r="B298" s="34">
        <f>SUMIF($I$6:$I$246,$I298,$B$6:$B$246)</f>
        <v>0</v>
      </c>
      <c r="C298" s="34">
        <f>SUMIF($I$6:$I$246,$I298,$C$6:$C$246)</f>
        <v>0</v>
      </c>
      <c r="H298" s="6" t="s">
        <v>428</v>
      </c>
      <c r="I298" s="1">
        <v>14</v>
      </c>
      <c r="J298" s="1" t="s">
        <v>263</v>
      </c>
    </row>
    <row r="299" spans="2:10">
      <c r="B299" s="34">
        <f>SUMIF($I$6:$I$246,$I299,$B$6:$B$246)</f>
        <v>0</v>
      </c>
      <c r="C299" s="34">
        <f>SUMIF($I$6:$I$246,$I299,$C$6:$C$246)</f>
        <v>0</v>
      </c>
      <c r="H299" s="6" t="s">
        <v>304</v>
      </c>
      <c r="I299" s="1">
        <v>15</v>
      </c>
    </row>
    <row r="300" spans="2:10">
      <c r="B300" s="34">
        <f>SUMIF($I$6:$I$246,$I300,$B$6:$B$246)</f>
        <v>6155</v>
      </c>
      <c r="C300" s="34">
        <f>SUMIF($I$6:$I$246,$I300,$C$6:$C$246)</f>
        <v>0</v>
      </c>
      <c r="H300" s="6" t="s">
        <v>151</v>
      </c>
      <c r="I300" s="1">
        <v>16</v>
      </c>
      <c r="J300" s="1" t="s">
        <v>151</v>
      </c>
    </row>
    <row r="301" spans="2:10">
      <c r="B301" s="34">
        <f>SUMIF($I$6:$I$246,$I301,$B$6:$B$246)</f>
        <v>10000</v>
      </c>
      <c r="C301" s="34">
        <f>SUMIF($I$6:$I$246,$I301,$C$6:$C$246)</f>
        <v>-10000</v>
      </c>
      <c r="H301" s="6" t="s">
        <v>288</v>
      </c>
      <c r="I301" s="1">
        <v>17</v>
      </c>
      <c r="J301" s="1" t="s">
        <v>263</v>
      </c>
    </row>
    <row r="302" spans="2:10">
      <c r="B302" s="34">
        <f>SUMIF($I$6:$I$246,$I302,$B$6:$B$246)</f>
        <v>0</v>
      </c>
      <c r="C302" s="34">
        <f>SUMIF($I$6:$I$246,$I302,$C$6:$C$246)</f>
        <v>0</v>
      </c>
      <c r="H302" s="6" t="s">
        <v>420</v>
      </c>
      <c r="I302" s="1">
        <v>18</v>
      </c>
    </row>
    <row r="303" spans="2:10">
      <c r="B303" s="34">
        <f>SUMIF($I$6:$I$246,$I303,$B$6:$B$246)</f>
        <v>0</v>
      </c>
      <c r="C303" s="34">
        <f>SUMIF($I$6:$I$246,$I303,$C$6:$C$246)</f>
        <v>0</v>
      </c>
      <c r="H303" s="6" t="s">
        <v>305</v>
      </c>
      <c r="I303" s="1">
        <v>19</v>
      </c>
      <c r="J303" s="1" t="s">
        <v>263</v>
      </c>
    </row>
    <row r="304" spans="2:10">
      <c r="B304" s="34">
        <f>SUMIF($I$6:$I$246,$I304,$B$6:$B$246)</f>
        <v>0</v>
      </c>
      <c r="C304" s="34">
        <f>SUMIF($I$6:$I$246,$I304,$C$6:$C$246)</f>
        <v>0</v>
      </c>
      <c r="H304" s="6" t="s">
        <v>306</v>
      </c>
      <c r="I304" s="1">
        <v>20</v>
      </c>
      <c r="J304" s="1" t="s">
        <v>263</v>
      </c>
    </row>
    <row r="305" spans="2:10">
      <c r="B305" s="34">
        <f>SUMIF($I$6:$I$246,$I305,$B$6:$B$246)</f>
        <v>0</v>
      </c>
      <c r="C305" s="34">
        <f>SUMIF($I$6:$I$246,$I305,$C$6:$C$246)</f>
        <v>0</v>
      </c>
      <c r="H305" s="6" t="s">
        <v>307</v>
      </c>
      <c r="I305" s="1">
        <v>21</v>
      </c>
    </row>
    <row r="306" spans="2:10">
      <c r="B306" s="34">
        <f>SUMIF($I$6:$I$246,$I306,$B$6:$B$246)</f>
        <v>0</v>
      </c>
      <c r="C306" s="34">
        <f>SUMIF($I$6:$I$246,$I306,$C$6:$C$246)</f>
        <v>0</v>
      </c>
      <c r="H306" s="6" t="s">
        <v>134</v>
      </c>
      <c r="I306" s="1">
        <v>22</v>
      </c>
    </row>
    <row r="307" spans="2:10">
      <c r="B307" s="34">
        <f>SUMIF($I$6:$I$246,$I307,$B$6:$B$246)</f>
        <v>1597.15</v>
      </c>
      <c r="C307" s="34">
        <f>SUMIF($I$6:$I$246,$I307,$C$6:$C$246)</f>
        <v>0</v>
      </c>
      <c r="H307" s="6" t="s">
        <v>237</v>
      </c>
      <c r="I307" s="1">
        <v>23</v>
      </c>
      <c r="J307" s="1" t="s">
        <v>476</v>
      </c>
    </row>
    <row r="308" spans="2:10">
      <c r="B308" s="34">
        <f>SUM(B6:B7)</f>
        <v>17463.919999999998</v>
      </c>
      <c r="C308" s="34">
        <f>SUM(C6:C7)</f>
        <v>0</v>
      </c>
      <c r="H308" s="1" t="s">
        <v>201</v>
      </c>
      <c r="I308" s="1">
        <v>90</v>
      </c>
      <c r="J308" s="1" t="s">
        <v>283</v>
      </c>
    </row>
    <row r="322" spans="2:2">
      <c r="B322"/>
    </row>
  </sheetData>
  <mergeCells count="5">
    <mergeCell ref="A1:I1"/>
    <mergeCell ref="A3:I3"/>
    <mergeCell ref="A4:I4"/>
    <mergeCell ref="A249:I249"/>
    <mergeCell ref="A254:I254"/>
  </mergeCells>
  <phoneticPr fontId="6" type="noConversion"/>
  <conditionalFormatting sqref="B250:C250 B255:C255">
    <cfRule type="expression" dxfId="5" priority="1" stopIfTrue="1">
      <formula>0</formula>
    </cfRule>
  </conditionalFormatting>
  <conditionalFormatting sqref="H253">
    <cfRule type="expression" dxfId="4" priority="2" stopIfTrue="1">
      <formula>0</formula>
    </cfRule>
  </conditionalFormatting>
  <conditionalFormatting sqref="G251">
    <cfRule type="expression" dxfId="3" priority="3" stopIfTrue="1">
      <formula>0</formula>
    </cfRule>
  </conditionalFormatting>
  <conditionalFormatting sqref="G252">
    <cfRule type="expression" dxfId="2" priority="4" stopIfTrue="1">
      <formula>0</formula>
    </cfRule>
  </conditionalFormatting>
  <conditionalFormatting sqref="H38 H257:H307 H126">
    <cfRule type="expression" dxfId="1" priority="5" stopIfTrue="1">
      <formula>0</formula>
    </cfRule>
    <cfRule type="expression" dxfId="0" priority="6" stopIfTrue="1">
      <formula>0</formula>
    </cfRule>
  </conditionalFormatting>
  <dataValidations count="4">
    <dataValidation type="list" operator="equal" allowBlank="1" sqref="G6:G18 G20 G22:G23 G165:G166 G29 G31 G33 G35 G25:G27 G43 G45 G37:G41 G50 G52 G54 G56 G58 G60 G62 G47:G48 G68 G70 G64:G66 G72:G75 G79:G82 G88 G90 G98 G85:G86 G95:G96 G92:G93 G104 G106 G108 G110 G112 G114 G116 G118 G120 G122 G124 G126 G128 G130 G132 G134 G136 G138 G100:G102 G143 G147 G149 G151 G153 G155 G157:G158 G160 G162:G163 G140:G141 G168 G185 G187 G189 G195 G197 G199 G201 G203 G205:G246">
      <formula1>$G$251:$G$252</formula1>
    </dataValidation>
    <dataValidation type="list" allowBlank="1" showInputMessage="1" showErrorMessage="1" sqref="H6:H76 H79:H82 H85:H86 H88 H90 H98 H92:H93 H96 H100:H102 H104 H106 H108:H169 H185 H187 H189:H195 H197 H199 H201 H203 H205:H246">
      <formula1>$H$256:$H$307</formula1>
    </dataValidation>
    <dataValidation type="list" operator="equal" allowBlank="1" sqref="G174 G177:G178 G180 G182 G184">
      <formula1>$G$249:$G$250</formula1>
    </dataValidation>
    <dataValidation type="list" allowBlank="1" showInputMessage="1" showErrorMessage="1" sqref="H170:H172 H174:H175 H177:H178 H180 H182 H184">
      <formula1>$H$254:$H$305</formula1>
    </dataValidation>
  </dataValidations>
  <pageMargins left="0.2" right="0.2" top="0.75" bottom="0.75" header="0.51" footer="0.51"/>
  <pageSetup orientation="portrait" horizontalDpi="4294967292" verticalDpi="4294967292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9"/>
  <sheetViews>
    <sheetView topLeftCell="A2" zoomScale="125" zoomScaleSheetLayoutView="100" workbookViewId="0">
      <selection activeCell="E9" sqref="E9"/>
    </sheetView>
  </sheetViews>
  <sheetFormatPr baseColWidth="10" defaultColWidth="7.42578125" defaultRowHeight="14"/>
  <cols>
    <col min="1" max="1" width="5.140625" style="1" customWidth="1"/>
    <col min="2" max="2" width="7.42578125" style="1"/>
    <col min="3" max="3" width="5.140625" style="1" customWidth="1"/>
    <col min="4" max="6" width="10.7109375" style="1" customWidth="1"/>
    <col min="7" max="16384" width="7.42578125" style="1"/>
  </cols>
  <sheetData>
    <row r="1" spans="1:12" s="14" customFormat="1" ht="39.75" customHeight="1">
      <c r="A1" s="68" t="s">
        <v>168</v>
      </c>
      <c r="B1" s="68"/>
      <c r="C1" s="68"/>
      <c r="D1" s="68"/>
      <c r="E1" s="68"/>
      <c r="F1" s="68"/>
      <c r="G1" s="68"/>
      <c r="H1" s="68"/>
      <c r="I1" s="68"/>
      <c r="J1" s="13"/>
      <c r="K1" s="13"/>
      <c r="L1" s="13"/>
    </row>
    <row r="3" spans="1:12" ht="15">
      <c r="A3" s="15" t="s">
        <v>83</v>
      </c>
      <c r="B3" s="16"/>
      <c r="C3" s="16"/>
      <c r="D3" s="16"/>
      <c r="E3" s="16"/>
      <c r="F3" s="16"/>
    </row>
    <row r="4" spans="1:12">
      <c r="A4" s="27" t="s">
        <v>215</v>
      </c>
      <c r="B4" s="16"/>
      <c r="C4" s="16"/>
      <c r="D4" s="16"/>
      <c r="E4" s="16"/>
      <c r="F4" s="16"/>
    </row>
    <row r="5" spans="1:12">
      <c r="A5" s="31"/>
    </row>
    <row r="6" spans="1:12">
      <c r="A6" s="11" t="s">
        <v>477</v>
      </c>
    </row>
    <row r="7" spans="1:12">
      <c r="B7" s="1" t="s">
        <v>189</v>
      </c>
      <c r="D7" s="34">
        <f>LOOKUP(B7,Journal!$G$251:$G$252,Journal!$D$251:$D$252)</f>
        <v>16029.690000000002</v>
      </c>
      <c r="E7" s="34"/>
      <c r="F7" s="34"/>
    </row>
    <row r="8" spans="1:12">
      <c r="B8" s="1" t="s">
        <v>190</v>
      </c>
      <c r="D8" s="34">
        <f>LOOKUP(B8,Journal!$G$251:$G$252,Journal!$D$251:$D$252)</f>
        <v>9358.9399999999569</v>
      </c>
      <c r="E8" s="34"/>
      <c r="F8" s="34"/>
    </row>
    <row r="9" spans="1:12">
      <c r="D9" s="34"/>
      <c r="E9" s="36">
        <f>SUM(D7:D8)</f>
        <v>25388.629999999961</v>
      </c>
      <c r="F9" s="34"/>
    </row>
    <row r="10" spans="1:12">
      <c r="B10" s="1" t="s">
        <v>475</v>
      </c>
      <c r="D10" s="34"/>
      <c r="E10" s="34"/>
      <c r="F10" s="36">
        <f>SUM(E9)</f>
        <v>25388.629999999961</v>
      </c>
    </row>
    <row r="11" spans="1:12">
      <c r="D11" s="34"/>
      <c r="E11" s="34"/>
      <c r="F11" s="34"/>
    </row>
    <row r="12" spans="1:12">
      <c r="A12" s="11" t="s">
        <v>43</v>
      </c>
      <c r="D12" s="34"/>
      <c r="E12" s="34"/>
      <c r="F12" s="34"/>
    </row>
    <row r="13" spans="1:12">
      <c r="B13" s="1" t="s">
        <v>43</v>
      </c>
      <c r="D13" s="34">
        <v>0</v>
      </c>
      <c r="E13" s="34"/>
      <c r="F13" s="34"/>
    </row>
    <row r="14" spans="1:12">
      <c r="D14" s="34"/>
      <c r="E14" s="36">
        <f>SUM(D13)</f>
        <v>0</v>
      </c>
      <c r="F14" s="34"/>
    </row>
    <row r="15" spans="1:12">
      <c r="B15" s="1" t="s">
        <v>111</v>
      </c>
      <c r="D15" s="34">
        <f>E9</f>
        <v>25388.629999999961</v>
      </c>
      <c r="E15" s="34"/>
      <c r="F15" s="34"/>
    </row>
    <row r="16" spans="1:12">
      <c r="D16" s="34"/>
      <c r="E16" s="36">
        <f>SUM(D15)</f>
        <v>25388.629999999961</v>
      </c>
      <c r="F16" s="34"/>
    </row>
    <row r="17" spans="2:6">
      <c r="B17" s="1" t="s">
        <v>112</v>
      </c>
      <c r="D17" s="34"/>
      <c r="E17" s="34"/>
      <c r="F17" s="36">
        <f>SUM(E14:E16)</f>
        <v>25388.629999999961</v>
      </c>
    </row>
    <row r="19" spans="2:6">
      <c r="B19" s="6"/>
    </row>
  </sheetData>
  <mergeCells count="1">
    <mergeCell ref="A1:I1"/>
  </mergeCells>
  <phoneticPr fontId="6" type="noConversion"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08"/>
  <sheetViews>
    <sheetView zoomScale="125" zoomScaleSheetLayoutView="100" workbookViewId="0">
      <selection activeCell="G38" sqref="G38"/>
    </sheetView>
  </sheetViews>
  <sheetFormatPr baseColWidth="10" defaultColWidth="7.42578125" defaultRowHeight="14"/>
  <cols>
    <col min="1" max="1" width="4.5703125" style="1" customWidth="1"/>
    <col min="2" max="2" width="27.28515625" style="1" bestFit="1" customWidth="1"/>
    <col min="3" max="3" width="2" style="1" customWidth="1"/>
    <col min="4" max="5" width="10.7109375" style="1" customWidth="1"/>
    <col min="6" max="16384" width="7.42578125" style="1"/>
  </cols>
  <sheetData>
    <row r="1" spans="1:12" s="18" customFormat="1" ht="41" customHeight="1">
      <c r="A1" s="68" t="s">
        <v>168</v>
      </c>
      <c r="B1" s="68"/>
      <c r="C1" s="68"/>
      <c r="D1" s="68"/>
      <c r="E1" s="68"/>
      <c r="F1" s="68"/>
      <c r="G1" s="68"/>
      <c r="H1" s="68"/>
      <c r="I1" s="68"/>
      <c r="J1" s="17"/>
      <c r="K1" s="17"/>
      <c r="L1" s="17"/>
    </row>
    <row r="3" spans="1:12" ht="15">
      <c r="A3" s="15" t="s">
        <v>148</v>
      </c>
      <c r="B3" s="16"/>
      <c r="C3" s="16"/>
      <c r="D3" s="16"/>
      <c r="E3" s="16"/>
    </row>
    <row r="4" spans="1:12">
      <c r="A4" s="27" t="s">
        <v>217</v>
      </c>
      <c r="B4" s="16"/>
      <c r="C4" s="16"/>
      <c r="D4" s="16"/>
      <c r="E4" s="16"/>
    </row>
    <row r="5" spans="1:12">
      <c r="A5" s="31"/>
    </row>
    <row r="6" spans="1:12">
      <c r="A6" s="11" t="s">
        <v>353</v>
      </c>
      <c r="D6" s="2"/>
      <c r="E6" s="2"/>
    </row>
    <row r="7" spans="1:12">
      <c r="B7" s="6" t="s">
        <v>161</v>
      </c>
      <c r="D7" s="34">
        <f>LOOKUP(B7,Journal!$H$257:$H$308,Journal!$B$257:$B$308)</f>
        <v>0</v>
      </c>
      <c r="E7" s="34"/>
    </row>
    <row r="8" spans="1:12">
      <c r="B8" s="6" t="s">
        <v>84</v>
      </c>
      <c r="D8" s="34">
        <f>LOOKUP(B8,Journal!$H$257:$H$308,Journal!$B$257:$B$308)</f>
        <v>0</v>
      </c>
      <c r="E8" s="34"/>
    </row>
    <row r="9" spans="1:12">
      <c r="B9" s="6" t="s">
        <v>136</v>
      </c>
      <c r="D9" s="34">
        <f>LOOKUP(B9,Journal!$H$257:$H$308,Journal!$B$257:$B$308)</f>
        <v>5.85</v>
      </c>
      <c r="E9" s="34"/>
    </row>
    <row r="10" spans="1:12">
      <c r="B10" s="12" t="s">
        <v>308</v>
      </c>
      <c r="D10" s="34">
        <f>SUM(D44:D49)</f>
        <v>743.5</v>
      </c>
      <c r="E10" s="34"/>
    </row>
    <row r="11" spans="1:12">
      <c r="B11" s="12" t="s">
        <v>406</v>
      </c>
      <c r="D11" s="34">
        <f>D43+SUM(D50:D54)</f>
        <v>7350</v>
      </c>
      <c r="E11" s="34"/>
    </row>
    <row r="12" spans="1:12">
      <c r="B12" s="6" t="s">
        <v>202</v>
      </c>
      <c r="D12" s="34">
        <f>LOOKUP(B12,Journal!$H$257:$H$308,Journal!$B$257:$B$308)</f>
        <v>0</v>
      </c>
      <c r="E12" s="34"/>
    </row>
    <row r="13" spans="1:12">
      <c r="B13" s="6" t="s">
        <v>343</v>
      </c>
      <c r="D13" s="34">
        <f>LOOKUP(B13,Journal!$H$257:$H$308,Journal!$B$257:$B$308)</f>
        <v>0</v>
      </c>
      <c r="E13" s="34"/>
    </row>
    <row r="14" spans="1:12">
      <c r="B14" s="6" t="s">
        <v>265</v>
      </c>
      <c r="D14" s="34">
        <f>LOOKUP(B14,Journal!$H$257:$H$308,Journal!$B$257:$B$308)</f>
        <v>0.83000000000000007</v>
      </c>
      <c r="E14" s="34"/>
    </row>
    <row r="15" spans="1:12">
      <c r="B15" s="6" t="s">
        <v>151</v>
      </c>
      <c r="D15" s="34">
        <f>LOOKUP(B15,Journal!$H$257:$H$308,Journal!$B$257:$B$308)</f>
        <v>6155</v>
      </c>
      <c r="E15" s="34"/>
    </row>
    <row r="16" spans="1:12">
      <c r="B16" s="6" t="s">
        <v>288</v>
      </c>
      <c r="D16" s="34">
        <f>LOOKUP(B16,Journal!$H$257:$H$308,Journal!$B$257:$B$308)</f>
        <v>10000</v>
      </c>
      <c r="E16" s="34"/>
    </row>
    <row r="17" spans="1:5">
      <c r="B17" s="6" t="s">
        <v>420</v>
      </c>
      <c r="D17" s="34">
        <f>LOOKUP(B17,Journal!$H$257:$H$308,Journal!$B$257:$B$308)</f>
        <v>0</v>
      </c>
      <c r="E17" s="34"/>
    </row>
    <row r="18" spans="1:5">
      <c r="B18" s="6" t="s">
        <v>307</v>
      </c>
      <c r="D18" s="34">
        <f>LOOKUP(B18,Journal!$H$257:$H$308,Journal!$B$257:$B$308)</f>
        <v>0</v>
      </c>
      <c r="E18" s="34"/>
    </row>
    <row r="19" spans="1:5" ht="15">
      <c r="A19"/>
      <c r="B19" s="6" t="s">
        <v>222</v>
      </c>
      <c r="D19" s="34">
        <f>LOOKUP(B19,Journal!$H$257:$H$308,Journal!$B$257:$B$308)</f>
        <v>1597.15</v>
      </c>
      <c r="E19" s="34"/>
    </row>
    <row r="20" spans="1:5">
      <c r="B20" s="6"/>
      <c r="D20" s="34"/>
      <c r="E20" s="36">
        <f>SUM(D7:D19)</f>
        <v>25852.33</v>
      </c>
    </row>
    <row r="21" spans="1:5">
      <c r="A21" s="11" t="s">
        <v>282</v>
      </c>
      <c r="D21" s="34"/>
      <c r="E21" s="34"/>
    </row>
    <row r="22" spans="1:5">
      <c r="A22" s="11"/>
      <c r="B22" s="6" t="s">
        <v>161</v>
      </c>
      <c r="D22" s="34">
        <f>LOOKUP(B22,Journal!$H$257:$H$308,Journal!$C$257:$C$308)</f>
        <v>0</v>
      </c>
      <c r="E22" s="34"/>
    </row>
    <row r="23" spans="1:5">
      <c r="A23" s="11"/>
      <c r="B23" s="6" t="s">
        <v>427</v>
      </c>
      <c r="D23" s="34">
        <f>LOOKUP(B23,Journal!$H$257:$H$308,Journal!$C$257:$C$308)</f>
        <v>0</v>
      </c>
      <c r="E23" s="34"/>
    </row>
    <row r="24" spans="1:5">
      <c r="B24" s="6" t="s">
        <v>136</v>
      </c>
      <c r="D24" s="34">
        <f>LOOKUP(B24,Journal!$H$257:$H$308,Journal!$C$257:$C$308)</f>
        <v>-340.98999999999984</v>
      </c>
      <c r="E24" s="34"/>
    </row>
    <row r="25" spans="1:5">
      <c r="B25" s="12" t="s">
        <v>223</v>
      </c>
      <c r="D25" s="34">
        <f>SUM(D58:D71)</f>
        <v>0</v>
      </c>
      <c r="E25" s="34"/>
    </row>
    <row r="26" spans="1:5">
      <c r="B26" s="12" t="s">
        <v>406</v>
      </c>
      <c r="D26" s="34">
        <f>D57+SUM(D72:D75)</f>
        <v>0</v>
      </c>
      <c r="E26" s="34"/>
    </row>
    <row r="27" spans="1:5">
      <c r="B27" s="6" t="s">
        <v>202</v>
      </c>
      <c r="D27" s="34">
        <f>LOOKUP(B27,Journal!$H$257:$H$308,Journal!$C$257:$C$308)</f>
        <v>0</v>
      </c>
      <c r="E27" s="34"/>
    </row>
    <row r="28" spans="1:5">
      <c r="B28" s="6" t="s">
        <v>107</v>
      </c>
      <c r="D28" s="34">
        <f>LOOKUP(B28,Journal!$H$257:$H$308,Journal!$C$257:$C$308)</f>
        <v>-30</v>
      </c>
      <c r="E28" s="34"/>
    </row>
    <row r="29" spans="1:5">
      <c r="B29" s="6" t="s">
        <v>105</v>
      </c>
      <c r="D29" s="34">
        <f>LOOKUP(B29,Journal!$H$257:$H$308,Journal!$C$257:$C$308)</f>
        <v>0</v>
      </c>
      <c r="E29" s="34"/>
    </row>
    <row r="30" spans="1:5">
      <c r="B30" s="6" t="s">
        <v>151</v>
      </c>
      <c r="D30" s="34">
        <f>LOOKUP(B30,Journal!$H$257:$H$308,Journal!$C$257:$C$308)</f>
        <v>0</v>
      </c>
      <c r="E30" s="34"/>
    </row>
    <row r="31" spans="1:5">
      <c r="B31" s="6" t="s">
        <v>346</v>
      </c>
      <c r="D31" s="34">
        <f>LOOKUP(B31,Journal!$H$257:$H$308,Journal!$C$257:$C$308)</f>
        <v>0</v>
      </c>
      <c r="E31" s="34"/>
    </row>
    <row r="32" spans="1:5">
      <c r="B32" s="6" t="s">
        <v>307</v>
      </c>
      <c r="D32" s="34">
        <f>LOOKUP(B32,Journal!$H$257:$H$308,Journal!$C$257:$C$308)</f>
        <v>0</v>
      </c>
      <c r="E32" s="34"/>
    </row>
    <row r="33" spans="1:5">
      <c r="B33" s="6" t="s">
        <v>536</v>
      </c>
      <c r="D33" s="34">
        <f>LOOKUP(B33,Journal!$H$257:$H$308,Journal!$C$257:$C$308)</f>
        <v>0</v>
      </c>
      <c r="E33" s="34"/>
    </row>
    <row r="34" spans="1:5">
      <c r="B34" s="6" t="s">
        <v>347</v>
      </c>
      <c r="D34" s="34">
        <f>LOOKUP(B34,Journal!$H$257:$H$308,Journal!$C$257:$C$308)</f>
        <v>0</v>
      </c>
      <c r="E34" s="34"/>
    </row>
    <row r="35" spans="1:5">
      <c r="B35" s="6" t="s">
        <v>288</v>
      </c>
      <c r="D35" s="34">
        <f>LOOKUP(B35,Journal!$H$257:$H$308,Journal!$C$257:$C$308)</f>
        <v>-10000</v>
      </c>
      <c r="E35" s="34"/>
    </row>
    <row r="36" spans="1:5">
      <c r="D36" s="34"/>
      <c r="E36" s="36">
        <f>SUM(D22:D35)</f>
        <v>-10370.99</v>
      </c>
    </row>
    <row r="37" spans="1:5">
      <c r="D37" s="34"/>
      <c r="E37" s="34"/>
    </row>
    <row r="38" spans="1:5" ht="15" thickBot="1">
      <c r="A38" s="11" t="s">
        <v>78</v>
      </c>
      <c r="D38" s="34"/>
      <c r="E38" s="33">
        <f>SUM(E20:E36)</f>
        <v>15481.340000000002</v>
      </c>
    </row>
    <row r="40" spans="1:5" ht="15">
      <c r="A40" s="15" t="s">
        <v>348</v>
      </c>
      <c r="B40" s="16"/>
      <c r="C40" s="16"/>
      <c r="D40" s="16"/>
      <c r="E40" s="16"/>
    </row>
    <row r="41" spans="1:5">
      <c r="A41" s="27" t="s">
        <v>349</v>
      </c>
      <c r="B41" s="16"/>
      <c r="C41" s="16"/>
      <c r="D41" s="16"/>
      <c r="E41" s="16"/>
    </row>
    <row r="42" spans="1:5">
      <c r="A42" s="11" t="s">
        <v>353</v>
      </c>
      <c r="D42" s="2"/>
      <c r="E42" s="2"/>
    </row>
    <row r="43" spans="1:5">
      <c r="B43" s="6" t="s">
        <v>161</v>
      </c>
      <c r="D43" s="34">
        <f>LOOKUP(B43,Journal!$H$257:$H$308,Journal!$B$257:$B$308)+LOOKUP(B43,Journal!$H$257:$H$308,Journal!$C$257:$C$308)</f>
        <v>0</v>
      </c>
      <c r="E43" s="34"/>
    </row>
    <row r="44" spans="1:5">
      <c r="B44" s="12" t="s">
        <v>471</v>
      </c>
      <c r="D44" s="34">
        <f>LOOKUP(B44,Journal!$H$257:$H$308,Journal!$B$257:$B$308)+LOOKUP(B44,Journal!$H$257:$H$308,Journal!$C$257:$C$308)</f>
        <v>0</v>
      </c>
      <c r="E44" s="34"/>
    </row>
    <row r="45" spans="1:5">
      <c r="B45" s="12" t="s">
        <v>483</v>
      </c>
      <c r="D45" s="34">
        <f>LOOKUP(B45,Journal!$H$257:$H$308,Journal!$B$257:$B$308)+LOOKUP(B45,Journal!$H$257:$H$308,Journal!$C$257:$C$308)</f>
        <v>0</v>
      </c>
      <c r="E45" s="34"/>
    </row>
    <row r="46" spans="1:5">
      <c r="B46" s="12" t="s">
        <v>488</v>
      </c>
      <c r="D46" s="34">
        <f>LOOKUP(B46,Journal!$H$257:$H$308,Journal!$B$257:$B$308)+LOOKUP(B46,Journal!$H$257:$H$308,Journal!$C$257:$C$308)</f>
        <v>0</v>
      </c>
      <c r="E46" s="34"/>
    </row>
    <row r="47" spans="1:5">
      <c r="B47" s="12" t="s">
        <v>489</v>
      </c>
      <c r="D47" s="34">
        <f>LOOKUP(B47,Journal!$H$257:$H$308,Journal!$B$257:$B$308)+LOOKUP(B47,Journal!$H$257:$H$308,Journal!$C$257:$C$308)</f>
        <v>743.5</v>
      </c>
      <c r="E47" s="34"/>
    </row>
    <row r="48" spans="1:5">
      <c r="B48" s="12" t="s">
        <v>490</v>
      </c>
      <c r="D48" s="34">
        <f>LOOKUP(B48,Journal!$H$257:$H$308,Journal!$B$257:$B$308)+LOOKUP(B48,Journal!$H$257:$H$308,Journal!$C$257:$C$308)</f>
        <v>0</v>
      </c>
      <c r="E48" s="34"/>
    </row>
    <row r="49" spans="1:5">
      <c r="B49" s="12" t="s">
        <v>491</v>
      </c>
      <c r="D49" s="34">
        <f>LOOKUP(B49,Journal!$H$257:$H$308,Journal!$B$257:$B$308)+LOOKUP(B49,Journal!$H$257:$H$308,Journal!$C$257:$C$308)</f>
        <v>0</v>
      </c>
      <c r="E49" s="34"/>
    </row>
    <row r="50" spans="1:5">
      <c r="B50" s="12" t="s">
        <v>219</v>
      </c>
      <c r="D50" s="34">
        <f>LOOKUP(B50,Journal!$H$257:$H$308,Journal!$B$257:$B$308)+LOOKUP(B50,Journal!$H$257:$H$308,Journal!$C$257:$C$308)</f>
        <v>0</v>
      </c>
      <c r="E50" s="34"/>
    </row>
    <row r="51" spans="1:5">
      <c r="B51" s="12" t="s">
        <v>220</v>
      </c>
      <c r="D51" s="34">
        <f>LOOKUP(B51,Journal!$H$257:$H$308,Journal!$B$257:$B$308)+LOOKUP(B51,Journal!$H$257:$H$308,Journal!$C$257:$C$308)</f>
        <v>6950</v>
      </c>
      <c r="E51" s="34"/>
    </row>
    <row r="52" spans="1:5">
      <c r="B52" s="12" t="s">
        <v>221</v>
      </c>
      <c r="D52" s="34">
        <f>LOOKUP(B52,Journal!$H$257:$H$308,Journal!$B$257:$B$308)+LOOKUP(B52,Journal!$H$257:$H$308,Journal!$C$257:$C$308)</f>
        <v>0</v>
      </c>
      <c r="E52" s="34"/>
    </row>
    <row r="53" spans="1:5">
      <c r="B53" s="12" t="s">
        <v>224</v>
      </c>
      <c r="D53" s="34">
        <f>LOOKUP(B53,Journal!$H$257:$H$308,Journal!$B$257:$B$308)+LOOKUP(B53,Journal!$H$257:$H$308,Journal!$C$257:$C$308)</f>
        <v>200</v>
      </c>
      <c r="E53" s="34"/>
    </row>
    <row r="54" spans="1:5">
      <c r="B54" s="12" t="s">
        <v>225</v>
      </c>
      <c r="D54" s="34">
        <f>LOOKUP(B54,Journal!$H$257:$H$308,Journal!$B$257:$B$308)+LOOKUP(B54,Journal!$H$257:$H$308,Journal!$C$257:$C$308)</f>
        <v>200</v>
      </c>
      <c r="E54" s="34"/>
    </row>
    <row r="55" spans="1:5">
      <c r="B55" s="6"/>
      <c r="D55" s="34"/>
      <c r="E55" s="36">
        <f>SUM(D43:D54)</f>
        <v>8093.5</v>
      </c>
    </row>
    <row r="56" spans="1:5">
      <c r="A56" s="11" t="s">
        <v>282</v>
      </c>
      <c r="D56" s="34"/>
      <c r="E56" s="34"/>
    </row>
    <row r="57" spans="1:5">
      <c r="A57" s="11"/>
      <c r="B57" s="6" t="s">
        <v>161</v>
      </c>
      <c r="D57" s="34">
        <f>LOOKUP(B57,Journal!$H$257:$H$308,Journal!$B$257:$B$308)+LOOKUP(B57,Journal!$H$257:$H$308,Journal!$C$257:$C$308)</f>
        <v>0</v>
      </c>
      <c r="E57" s="34"/>
    </row>
    <row r="58" spans="1:5">
      <c r="B58" s="12" t="s">
        <v>226</v>
      </c>
      <c r="D58" s="34">
        <f>LOOKUP(B58,Journal!$H$257:$H$308,Journal!$B$257:$B$308)+LOOKUP(B58,Journal!$H$257:$H$308,Journal!$C$257:$C$308)</f>
        <v>0</v>
      </c>
      <c r="E58" s="34"/>
    </row>
    <row r="59" spans="1:5">
      <c r="B59" s="12" t="s">
        <v>227</v>
      </c>
      <c r="D59" s="34">
        <f>LOOKUP(B59,Journal!$H$257:$H$308,Journal!$B$257:$B$308)+LOOKUP(B59,Journal!$H$257:$H$308,Journal!$C$257:$C$308)</f>
        <v>0</v>
      </c>
      <c r="E59" s="34"/>
    </row>
    <row r="60" spans="1:5">
      <c r="B60" s="12" t="s">
        <v>472</v>
      </c>
      <c r="D60" s="34">
        <f>LOOKUP(B60,Journal!$H$257:$H$308,Journal!$B$257:$B$308)+LOOKUP(B60,Journal!$H$257:$H$308,Journal!$C$257:$C$308)</f>
        <v>0</v>
      </c>
      <c r="E60" s="34"/>
    </row>
    <row r="61" spans="1:5">
      <c r="B61" s="12" t="s">
        <v>443</v>
      </c>
      <c r="D61" s="34">
        <f>LOOKUP(B61,Journal!$H$257:$H$308,Journal!$B$257:$B$308)+LOOKUP(B61,Journal!$H$257:$H$308,Journal!$C$257:$C$308)</f>
        <v>0</v>
      </c>
      <c r="E61" s="34"/>
    </row>
    <row r="62" spans="1:5">
      <c r="B62" s="12" t="s">
        <v>345</v>
      </c>
      <c r="D62" s="34">
        <f>LOOKUP(B62,Journal!$H$257:$H$308,Journal!$B$257:$B$308)+LOOKUP(B62,Journal!$H$257:$H$308,Journal!$C$257:$C$308)</f>
        <v>0</v>
      </c>
      <c r="E62" s="34"/>
    </row>
    <row r="63" spans="1:5">
      <c r="B63" s="12" t="s">
        <v>467</v>
      </c>
      <c r="D63" s="34">
        <f>LOOKUP(B63,Journal!$H$257:$H$308,Journal!$B$257:$B$308)+LOOKUP(B63,Journal!$H$257:$H$308,Journal!$C$257:$C$308)</f>
        <v>0</v>
      </c>
      <c r="E63" s="34"/>
    </row>
    <row r="64" spans="1:5">
      <c r="B64" s="12" t="s">
        <v>127</v>
      </c>
      <c r="D64" s="34">
        <f>LOOKUP(B64,Journal!$H$257:$H$308,Journal!$B$257:$B$308)+LOOKUP(B64,Journal!$H$257:$H$308,Journal!$C$257:$C$308)</f>
        <v>0</v>
      </c>
      <c r="E64" s="34"/>
    </row>
    <row r="65" spans="1:12">
      <c r="B65" s="12" t="s">
        <v>126</v>
      </c>
      <c r="D65" s="34">
        <f>LOOKUP(B65,Journal!$H$257:$H$308,Journal!$B$257:$B$308)+LOOKUP(B65,Journal!$H$257:$H$308,Journal!$C$257:$C$308)</f>
        <v>0</v>
      </c>
      <c r="E65" s="34"/>
    </row>
    <row r="66" spans="1:12">
      <c r="A66" s="52"/>
      <c r="B66" s="52" t="s">
        <v>468</v>
      </c>
      <c r="C66" s="52"/>
      <c r="D66" s="34">
        <f>LOOKUP(B66,Journal!$H$257:$H$308,Journal!$B$257:$B$308)+LOOKUP(B66,Journal!$H$257:$H$308,Journal!$C$257:$C$308)</f>
        <v>0</v>
      </c>
      <c r="E66" s="54"/>
      <c r="F66" s="52"/>
      <c r="G66" s="52"/>
      <c r="H66" s="52"/>
      <c r="I66" s="52"/>
      <c r="J66" s="52"/>
      <c r="K66" s="52"/>
      <c r="L66" s="52"/>
    </row>
    <row r="67" spans="1:12">
      <c r="A67" s="52"/>
      <c r="B67" s="52" t="s">
        <v>469</v>
      </c>
      <c r="C67" s="52"/>
      <c r="D67" s="34">
        <f>LOOKUP(B67,Journal!$H$257:$H$308,Journal!$B$257:$B$308)+LOOKUP(B67,Journal!$H$257:$H$308,Journal!$C$257:$C$308)</f>
        <v>0</v>
      </c>
      <c r="E67" s="54"/>
      <c r="F67" s="52"/>
      <c r="G67" s="52"/>
      <c r="H67" s="52"/>
      <c r="I67" s="52"/>
      <c r="J67" s="52"/>
      <c r="K67" s="52"/>
      <c r="L67" s="52"/>
    </row>
    <row r="68" spans="1:12">
      <c r="B68" s="12" t="s">
        <v>370</v>
      </c>
      <c r="D68" s="34">
        <f>LOOKUP(B68,Journal!$H$257:$H$308,Journal!$B$257:$B$308)+LOOKUP(B68,Journal!$H$257:$H$308,Journal!$C$257:$C$308)</f>
        <v>0</v>
      </c>
      <c r="E68" s="34"/>
    </row>
    <row r="69" spans="1:12">
      <c r="B69" s="12" t="s">
        <v>470</v>
      </c>
      <c r="D69" s="34">
        <f>LOOKUP(B69,Journal!$H$257:$H$308,Journal!$B$257:$B$308)+LOOKUP(B69,Journal!$H$257:$H$308,Journal!$C$257:$C$308)</f>
        <v>0</v>
      </c>
      <c r="E69" s="34"/>
    </row>
    <row r="70" spans="1:12">
      <c r="B70" s="12" t="s">
        <v>371</v>
      </c>
      <c r="D70" s="34">
        <f>LOOKUP(B70,Journal!$H$257:$H$308,Journal!$B$257:$B$308)+LOOKUP(B70,Journal!$H$257:$H$308,Journal!$C$257:$C$308)</f>
        <v>0</v>
      </c>
      <c r="E70" s="34"/>
    </row>
    <row r="71" spans="1:12">
      <c r="B71" s="12" t="s">
        <v>415</v>
      </c>
      <c r="D71" s="34">
        <f>LOOKUP(B71,Journal!$H$257:$H$308,Journal!$B$257:$B$308)+LOOKUP(B71,Journal!$H$257:$H$308,Journal!$C$257:$C$308)</f>
        <v>0</v>
      </c>
      <c r="E71" s="34"/>
    </row>
    <row r="72" spans="1:12">
      <c r="B72" s="12" t="s">
        <v>516</v>
      </c>
      <c r="D72" s="34">
        <f>LOOKUP(B72,Journal!$H$257:$H$308,Journal!$B$257:$B$308)+LOOKUP(B72,Journal!$H$257:$H$308,Journal!$C$257:$C$308)</f>
        <v>0</v>
      </c>
      <c r="E72" s="34"/>
    </row>
    <row r="73" spans="1:12">
      <c r="B73" s="12" t="s">
        <v>252</v>
      </c>
      <c r="D73" s="34">
        <f>LOOKUP(B73,Journal!$H$257:$H$308,Journal!$B$257:$B$308)+LOOKUP(B73,Journal!$H$257:$H$308,Journal!$C$257:$C$308)</f>
        <v>0</v>
      </c>
      <c r="E73" s="34"/>
    </row>
    <row r="74" spans="1:12">
      <c r="B74" s="12" t="s">
        <v>416</v>
      </c>
      <c r="D74" s="34">
        <f>LOOKUP(B74,Journal!$H$257:$H$308,Journal!$B$257:$B$308)+LOOKUP(B74,Journal!$H$257:$H$308,Journal!$C$257:$C$308)</f>
        <v>0</v>
      </c>
      <c r="E74" s="34"/>
    </row>
    <row r="75" spans="1:12">
      <c r="B75" s="12" t="s">
        <v>530</v>
      </c>
      <c r="D75" s="34">
        <f>LOOKUP(B75,Journal!$H$257:$H$308,Journal!$B$257:$B$308)+LOOKUP(B75,Journal!$H$257:$H$308,Journal!$C$257:$C$308)</f>
        <v>0</v>
      </c>
      <c r="E75" s="34"/>
    </row>
    <row r="76" spans="1:12">
      <c r="D76" s="34"/>
      <c r="E76" s="36">
        <f>SUM(D57:D75)</f>
        <v>0</v>
      </c>
    </row>
    <row r="77" spans="1:12" ht="15" thickBot="1">
      <c r="A77" s="11" t="s">
        <v>78</v>
      </c>
      <c r="D77" s="34"/>
      <c r="E77" s="33">
        <f>SUM(E55:E76)</f>
        <v>8093.5</v>
      </c>
    </row>
    <row r="79" spans="1:12" ht="15">
      <c r="A79" s="15" t="s">
        <v>531</v>
      </c>
      <c r="B79" s="16"/>
      <c r="C79" s="16"/>
      <c r="D79" s="16"/>
      <c r="E79" s="16"/>
    </row>
    <row r="80" spans="1:12">
      <c r="A80" s="27" t="s">
        <v>532</v>
      </c>
      <c r="B80" s="16"/>
      <c r="C80" s="16"/>
      <c r="D80" s="16"/>
      <c r="E80" s="16"/>
    </row>
    <row r="81" spans="1:5">
      <c r="A81" s="6"/>
    </row>
    <row r="82" spans="1:5">
      <c r="A82" s="11" t="s">
        <v>353</v>
      </c>
      <c r="D82" s="2"/>
      <c r="E82" s="2"/>
    </row>
    <row r="83" spans="1:5">
      <c r="B83" s="6" t="s">
        <v>84</v>
      </c>
      <c r="D83" s="34">
        <f>LOOKUP(B83,Journal!$H$257:$H$308,Journal!$B$257:$B$308)</f>
        <v>0</v>
      </c>
      <c r="E83" s="34"/>
    </row>
    <row r="84" spans="1:5">
      <c r="B84" s="6" t="s">
        <v>136</v>
      </c>
      <c r="D84" s="34">
        <f>LOOKUP(B84,Journal!$H$257:$H$308,Journal!$B$257:$B$308)</f>
        <v>5.85</v>
      </c>
      <c r="E84" s="34"/>
    </row>
    <row r="85" spans="1:5">
      <c r="B85" s="6" t="s">
        <v>202</v>
      </c>
      <c r="D85" s="34">
        <f>LOOKUP(B85,Journal!$H$257:$H$308,Journal!$B$257:$B$308)</f>
        <v>0</v>
      </c>
      <c r="E85" s="34"/>
    </row>
    <row r="86" spans="1:5">
      <c r="B86" s="6" t="s">
        <v>533</v>
      </c>
      <c r="D86" s="34">
        <f>LOOKUP(B86,Journal!$H$257:$H$308,Journal!$B$257:$B$308)</f>
        <v>0</v>
      </c>
      <c r="E86" s="34"/>
    </row>
    <row r="87" spans="1:5">
      <c r="B87" s="6" t="s">
        <v>265</v>
      </c>
      <c r="D87" s="34">
        <f>LOOKUP(B87,Journal!$H$257:$H$308,Journal!$B$257:$B$308)</f>
        <v>0.83000000000000007</v>
      </c>
      <c r="E87" s="34"/>
    </row>
    <row r="88" spans="1:5">
      <c r="B88" s="6" t="s">
        <v>151</v>
      </c>
      <c r="D88" s="34">
        <f>LOOKUP(B88,Journal!$H$257:$H$308,Journal!$B$257:$B$308)</f>
        <v>6155</v>
      </c>
      <c r="E88" s="34"/>
    </row>
    <row r="89" spans="1:5">
      <c r="B89" s="6" t="s">
        <v>288</v>
      </c>
      <c r="D89" s="34">
        <f>LOOKUP(B89,Journal!$H$257:$H$308,Journal!$B$257:$B$308)</f>
        <v>10000</v>
      </c>
      <c r="E89" s="34"/>
    </row>
    <row r="90" spans="1:5">
      <c r="B90" s="6" t="s">
        <v>420</v>
      </c>
      <c r="D90" s="34">
        <f>LOOKUP(B90,Journal!$H$257:$H$308,Journal!$B$257:$B$308)</f>
        <v>0</v>
      </c>
      <c r="E90" s="34"/>
    </row>
    <row r="91" spans="1:5">
      <c r="B91" s="6" t="s">
        <v>307</v>
      </c>
      <c r="D91" s="34">
        <f>LOOKUP(B91,Journal!$H$257:$H$308,Journal!$B$257:$B$308)</f>
        <v>0</v>
      </c>
      <c r="E91" s="34"/>
    </row>
    <row r="92" spans="1:5" ht="15">
      <c r="A92"/>
      <c r="B92" s="6" t="s">
        <v>534</v>
      </c>
      <c r="D92" s="34">
        <f>LOOKUP(B92,Journal!$H$257:$H$308,Journal!$B$257:$B$308)</f>
        <v>1597.15</v>
      </c>
      <c r="E92" s="34"/>
    </row>
    <row r="93" spans="1:5">
      <c r="B93" s="6"/>
      <c r="D93" s="34"/>
      <c r="E93" s="36">
        <f>SUM(D83:D92)</f>
        <v>17758.830000000002</v>
      </c>
    </row>
    <row r="94" spans="1:5">
      <c r="A94" s="11" t="s">
        <v>282</v>
      </c>
      <c r="D94" s="34"/>
      <c r="E94" s="34"/>
    </row>
    <row r="95" spans="1:5">
      <c r="A95" s="11"/>
      <c r="B95" s="6" t="s">
        <v>427</v>
      </c>
      <c r="D95" s="34">
        <f>LOOKUP(B95,Journal!$H$257:$H$308,Journal!$C$257:$C$308)</f>
        <v>0</v>
      </c>
      <c r="E95" s="34"/>
    </row>
    <row r="96" spans="1:5">
      <c r="B96" s="6" t="s">
        <v>136</v>
      </c>
      <c r="D96" s="34">
        <f>LOOKUP(B96,Journal!$H$257:$H$308,Journal!$C$257:$C$308)</f>
        <v>-340.98999999999984</v>
      </c>
      <c r="E96" s="34"/>
    </row>
    <row r="97" spans="1:5">
      <c r="B97" s="6" t="s">
        <v>202</v>
      </c>
      <c r="D97" s="34">
        <f>LOOKUP(B97,Journal!$H$257:$H$308,Journal!$C$257:$C$308)</f>
        <v>0</v>
      </c>
      <c r="E97" s="34"/>
    </row>
    <row r="98" spans="1:5">
      <c r="B98" s="6" t="s">
        <v>107</v>
      </c>
      <c r="D98" s="34">
        <f>LOOKUP(B98,Journal!$H$257:$H$308,Journal!$C$257:$C$308)</f>
        <v>-30</v>
      </c>
      <c r="E98" s="34"/>
    </row>
    <row r="99" spans="1:5">
      <c r="B99" s="6" t="s">
        <v>105</v>
      </c>
      <c r="D99" s="34">
        <f>LOOKUP(B99,Journal!$H$257:$H$308,Journal!$C$257:$C$308)</f>
        <v>0</v>
      </c>
      <c r="E99" s="34"/>
    </row>
    <row r="100" spans="1:5">
      <c r="B100" s="6" t="s">
        <v>151</v>
      </c>
      <c r="D100" s="34">
        <f>LOOKUP(B100,Journal!$H$257:$H$308,Journal!$C$257:$C$308)</f>
        <v>0</v>
      </c>
      <c r="E100" s="34"/>
    </row>
    <row r="101" spans="1:5">
      <c r="B101" s="6" t="s">
        <v>535</v>
      </c>
      <c r="D101" s="34">
        <f>LOOKUP(B101,Journal!$H$257:$H$308,Journal!$C$257:$C$308)</f>
        <v>0</v>
      </c>
      <c r="E101" s="34"/>
    </row>
    <row r="102" spans="1:5">
      <c r="B102" s="6" t="s">
        <v>307</v>
      </c>
      <c r="D102" s="34">
        <f>LOOKUP(B102,Journal!$H$257:$H$308,Journal!$C$257:$C$308)</f>
        <v>0</v>
      </c>
      <c r="E102" s="34"/>
    </row>
    <row r="103" spans="1:5">
      <c r="B103" s="6" t="s">
        <v>536</v>
      </c>
      <c r="D103" s="34">
        <f>LOOKUP(B103,Journal!$H$257:$H$308,Journal!$C$257:$C$308)</f>
        <v>0</v>
      </c>
      <c r="E103" s="34"/>
    </row>
    <row r="104" spans="1:5">
      <c r="B104" s="6" t="s">
        <v>80</v>
      </c>
      <c r="D104" s="34">
        <f>LOOKUP(B104,Journal!$H$257:$H$308,Journal!$C$257:$C$308)</f>
        <v>0</v>
      </c>
      <c r="E104" s="34"/>
    </row>
    <row r="105" spans="1:5">
      <c r="B105" s="6" t="s">
        <v>288</v>
      </c>
      <c r="D105" s="34">
        <f>LOOKUP(B105,Journal!$H$257:$H$308,Journal!$C$257:$C$308)</f>
        <v>-10000</v>
      </c>
      <c r="E105" s="34"/>
    </row>
    <row r="106" spans="1:5">
      <c r="D106" s="34"/>
      <c r="E106" s="36">
        <f>SUM(D95:D105)</f>
        <v>-10370.99</v>
      </c>
    </row>
    <row r="107" spans="1:5">
      <c r="D107" s="34"/>
      <c r="E107" s="34"/>
    </row>
    <row r="108" spans="1:5" ht="15" thickBot="1">
      <c r="A108" s="11" t="s">
        <v>78</v>
      </c>
      <c r="D108" s="34"/>
      <c r="E108" s="33">
        <f>SUM(E93:E106)</f>
        <v>7387.840000000002</v>
      </c>
    </row>
  </sheetData>
  <mergeCells count="1">
    <mergeCell ref="A1:I1"/>
  </mergeCells>
  <phoneticPr fontId="6" type="noConversion"/>
  <conditionalFormatting sqref="B22:B35 B7:B18 B20 B96:B107 B84:B94 B59:B65 B68:B76 B43:B56">
    <cfRule type="expression" dxfId="18" priority="1" stopIfTrue="1">
      <formula>0</formula>
    </cfRule>
    <cfRule type="expression" dxfId="17" priority="2" stopIfTrue="1">
      <formula>0</formula>
    </cfRule>
  </conditionalFormatting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26"/>
  <sheetViews>
    <sheetView topLeftCell="A3" zoomScale="125" zoomScaleSheetLayoutView="100" workbookViewId="0">
      <selection activeCell="F26" sqref="F26"/>
    </sheetView>
  </sheetViews>
  <sheetFormatPr baseColWidth="10" defaultColWidth="7.42578125" defaultRowHeight="14"/>
  <cols>
    <col min="1" max="1" width="4.85546875" style="1" customWidth="1"/>
    <col min="2" max="2" width="19.28515625" style="1" customWidth="1"/>
    <col min="3" max="3" width="3" style="1" customWidth="1"/>
    <col min="4" max="5" width="10.7109375" style="1" customWidth="1"/>
    <col min="6" max="16384" width="7.42578125" style="1"/>
  </cols>
  <sheetData>
    <row r="1" spans="1:12" ht="41" customHeight="1">
      <c r="A1" s="68" t="s">
        <v>168</v>
      </c>
      <c r="B1" s="68"/>
      <c r="C1" s="68"/>
      <c r="D1" s="68"/>
      <c r="E1" s="68"/>
      <c r="F1" s="68"/>
      <c r="G1" s="68"/>
      <c r="H1" s="68"/>
      <c r="I1" s="68"/>
      <c r="J1"/>
      <c r="K1"/>
      <c r="L1"/>
    </row>
    <row r="3" spans="1:12" ht="15">
      <c r="A3" s="15" t="s">
        <v>79</v>
      </c>
      <c r="B3" s="16"/>
      <c r="C3" s="16"/>
      <c r="D3" s="16"/>
      <c r="E3" s="16"/>
    </row>
    <row r="4" spans="1:12">
      <c r="A4" s="27" t="s">
        <v>217</v>
      </c>
      <c r="B4" s="16"/>
      <c r="C4" s="16"/>
      <c r="D4" s="16"/>
      <c r="E4" s="16"/>
    </row>
    <row r="5" spans="1:12">
      <c r="A5" s="31"/>
    </row>
    <row r="6" spans="1:12">
      <c r="B6" s="7" t="s">
        <v>424</v>
      </c>
      <c r="D6" s="34"/>
      <c r="E6" s="34">
        <f>Journal!B308</f>
        <v>17463.919999999998</v>
      </c>
    </row>
    <row r="7" spans="1:12">
      <c r="B7" s="7" t="s">
        <v>161</v>
      </c>
      <c r="D7" s="34">
        <f>LOOKUP(B7,Journal!$H$257:$H$308,Journal!$B$257:$B$308)+LOOKUP(B7,Journal!$H$257:$H$308,Journal!$C$257:$C$308)</f>
        <v>0</v>
      </c>
      <c r="E7" s="34"/>
    </row>
    <row r="8" spans="1:12">
      <c r="B8" s="32" t="s">
        <v>427</v>
      </c>
      <c r="D8" s="34">
        <f>LOOKUP(B8,Journal!$H$257:$H$308,Journal!$B$257:$B$308)+LOOKUP(B8,Journal!$H$257:$H$308,Journal!$C$257:$C$308)</f>
        <v>0</v>
      </c>
      <c r="E8" s="34"/>
    </row>
    <row r="9" spans="1:12">
      <c r="B9" s="7" t="s">
        <v>84</v>
      </c>
      <c r="D9" s="34">
        <f>LOOKUP(B9,Journal!$H$257:$H$308,Journal!$B$257:$B$308)+LOOKUP(B9,Journal!$H$257:$H$308,Journal!$C$257:$C$308)</f>
        <v>0</v>
      </c>
      <c r="E9" s="34"/>
    </row>
    <row r="10" spans="1:12">
      <c r="B10" s="6" t="s">
        <v>136</v>
      </c>
      <c r="D10" s="34">
        <f>LOOKUP(B10,Journal!$H$257:$H$308,Journal!$B$257:$B$308)+LOOKUP(B10,Journal!$H$257:$H$308,Journal!$C$257:$C$308)</f>
        <v>-335.13999999999982</v>
      </c>
      <c r="E10" s="34"/>
    </row>
    <row r="11" spans="1:12">
      <c r="B11" s="12" t="s">
        <v>308</v>
      </c>
      <c r="D11" s="34">
        <f>SUM(Journal!B261:C281)</f>
        <v>243.5</v>
      </c>
      <c r="E11" s="34"/>
    </row>
    <row r="12" spans="1:12">
      <c r="B12" s="12" t="s">
        <v>406</v>
      </c>
      <c r="D12" s="34">
        <f>SUM(Journal!B282:C290)</f>
        <v>7350</v>
      </c>
      <c r="E12" s="34"/>
    </row>
    <row r="13" spans="1:12">
      <c r="B13" s="7" t="s">
        <v>202</v>
      </c>
      <c r="D13" s="34">
        <f>LOOKUP(B13,Journal!$H$257:$H$308,Journal!$B$257:$B$308)+LOOKUP(B13,Journal!$H$257:$H$308,Journal!$C$257:$C$308)</f>
        <v>0</v>
      </c>
      <c r="E13" s="34"/>
    </row>
    <row r="14" spans="1:12">
      <c r="B14" s="6" t="s">
        <v>107</v>
      </c>
      <c r="D14" s="34">
        <f>LOOKUP(B14,Journal!$H$257:$H$308,Journal!$B$257:$B$308)+LOOKUP(B14,Journal!$H$257:$H$308,Journal!$C$257:$C$308)</f>
        <v>-30</v>
      </c>
      <c r="E14" s="34"/>
    </row>
    <row r="15" spans="1:12">
      <c r="B15" s="7" t="s">
        <v>265</v>
      </c>
      <c r="D15" s="34">
        <f>LOOKUP(B15,Journal!$H$257:$H$308,Journal!$B$257:$B$308)+LOOKUP(B15,Journal!$H$257:$H$308,Journal!$C$257:$C$308)</f>
        <v>0.83000000000000007</v>
      </c>
      <c r="E15" s="34"/>
    </row>
    <row r="16" spans="1:12">
      <c r="B16" s="7" t="s">
        <v>291</v>
      </c>
      <c r="D16" s="34">
        <f>LOOKUP(B16,Journal!$H$257:$H$308,Journal!$B$257:$B$308)+LOOKUP(B16,Journal!$H$257:$H$308,Journal!$C$257:$C$308)</f>
        <v>-7056.63</v>
      </c>
      <c r="E16" s="34"/>
    </row>
    <row r="17" spans="1:256">
      <c r="B17" s="7" t="s">
        <v>151</v>
      </c>
      <c r="D17" s="34">
        <f>LOOKUP(B17,Journal!$H$257:$H$308,Journal!$B$257:$B$308)+LOOKUP(B17,Journal!$H$257:$H$308,Journal!$C$257:$C$308)</f>
        <v>6155</v>
      </c>
      <c r="E17" s="34"/>
    </row>
    <row r="18" spans="1:256">
      <c r="B18" s="1" t="s">
        <v>288</v>
      </c>
      <c r="D18" s="34">
        <f>LOOKUP(B18,Journal!$H$257:$H$308,Journal!$B$257:$B$308)+LOOKUP(B18,Journal!$H$257:$H$308,Journal!$C$257:$C$308)</f>
        <v>0</v>
      </c>
      <c r="E18" s="34"/>
    </row>
    <row r="19" spans="1:256">
      <c r="B19" s="7" t="s">
        <v>420</v>
      </c>
      <c r="D19" s="34">
        <f>LOOKUP(B19,Journal!$H$257:$H$308,Journal!$B$257:$B$308)+LOOKUP(B19,Journal!$H$257:$H$308,Journal!$C$257:$C$308)</f>
        <v>0</v>
      </c>
      <c r="E19" s="34"/>
    </row>
    <row r="20" spans="1:256">
      <c r="B20" s="7" t="s">
        <v>356</v>
      </c>
      <c r="D20" s="34">
        <f>LOOKUP(B20,Journal!$H$257:$H$308,Journal!$B$257:$B$308)+LOOKUP(B20,Journal!$H$257:$H$308,Journal!$C$257:$C$308)</f>
        <v>0</v>
      </c>
      <c r="E20" s="34"/>
    </row>
    <row r="21" spans="1:256">
      <c r="B21" s="7" t="s">
        <v>449</v>
      </c>
      <c r="D21" s="34">
        <f>LOOKUP(B21,Journal!$H$257:$H$308,Journal!$B$257:$B$308)+LOOKUP(B21,Journal!$H$257:$H$308,Journal!$C$257:$C$308)</f>
        <v>0</v>
      </c>
      <c r="E21" s="34"/>
    </row>
    <row r="22" spans="1:256">
      <c r="B22" s="7" t="s">
        <v>536</v>
      </c>
      <c r="D22" s="34">
        <f>LOOKUP(B22,Journal!$H$257:$H$308,Journal!$B$257:$B$308)+LOOKUP(B22,Journal!$H$257:$H$308,Journal!$C$257:$C$308)</f>
        <v>0</v>
      </c>
      <c r="E22" s="34"/>
    </row>
    <row r="23" spans="1:256" ht="15">
      <c r="B23" s="6" t="s">
        <v>195</v>
      </c>
      <c r="D23" s="34">
        <f>LOOKUP(B23,Journal!$H$257:$H$308,Journal!$B$257:$B$308)+LOOKUP(B23,Journal!$H$257:$H$308,Journal!$C$257:$C$308)</f>
        <v>1597.15</v>
      </c>
      <c r="E23" s="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>
      <c r="A24"/>
      <c r="B24"/>
      <c r="C24"/>
      <c r="D24" s="34"/>
      <c r="E24" s="34"/>
      <c r="F24"/>
      <c r="G24"/>
      <c r="H24"/>
      <c r="I24"/>
    </row>
    <row r="25" spans="1:256">
      <c r="B25" s="6" t="s">
        <v>187</v>
      </c>
      <c r="D25" s="34"/>
      <c r="E25" s="36">
        <f>SUM(D7:D24)</f>
        <v>7924.7100000000009</v>
      </c>
    </row>
    <row r="26" spans="1:256" ht="15" thickBot="1">
      <c r="B26" s="6" t="s">
        <v>188</v>
      </c>
      <c r="D26" s="34"/>
      <c r="E26" s="33">
        <f>SUM(E6:E25)</f>
        <v>25388.629999999997</v>
      </c>
      <c r="F26" s="55">
        <f>'Balance Sheet'!F10-'Cash Flow'!E26</f>
        <v>-3.637978807091713E-11</v>
      </c>
    </row>
  </sheetData>
  <mergeCells count="1">
    <mergeCell ref="A1:I1"/>
  </mergeCells>
  <phoneticPr fontId="6" type="noConversion"/>
  <conditionalFormatting sqref="B19:B23 B25:B26 B6:B17">
    <cfRule type="expression" dxfId="16" priority="1" stopIfTrue="1">
      <formula>0</formula>
    </cfRule>
    <cfRule type="expression" dxfId="15" priority="2" stopIfTrue="1">
      <formula>0</formula>
    </cfRule>
  </conditionalFormatting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T10"/>
  <sheetViews>
    <sheetView zoomScale="125" workbookViewId="0">
      <selection activeCell="A8" sqref="A8"/>
    </sheetView>
  </sheetViews>
  <sheetFormatPr baseColWidth="10" defaultRowHeight="14"/>
  <cols>
    <col min="1" max="16384" width="10.7109375" style="29"/>
  </cols>
  <sheetData>
    <row r="1" spans="1:254" customFormat="1" ht="41" customHeight="1">
      <c r="A1" s="70" t="s">
        <v>442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customFormat="1" ht="1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customFormat="1" ht="15">
      <c r="A3" s="78" t="s">
        <v>323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254" customFormat="1" ht="15">
      <c r="A4" s="74" t="s">
        <v>232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254" customFormat="1" ht="12.75" customHeight="1">
      <c r="A5" s="49" t="s">
        <v>324</v>
      </c>
      <c r="B5" s="4" t="s">
        <v>325</v>
      </c>
      <c r="C5" s="49" t="s">
        <v>326</v>
      </c>
      <c r="D5" s="4" t="s">
        <v>327</v>
      </c>
      <c r="E5" s="49" t="s">
        <v>328</v>
      </c>
      <c r="F5" s="49" t="s">
        <v>329</v>
      </c>
      <c r="G5" s="49" t="s">
        <v>333</v>
      </c>
      <c r="H5" s="49" t="s">
        <v>330</v>
      </c>
      <c r="I5" s="49" t="s">
        <v>331</v>
      </c>
      <c r="J5" s="49" t="s">
        <v>309</v>
      </c>
      <c r="K5" s="49" t="s">
        <v>310</v>
      </c>
      <c r="L5" s="6" t="s">
        <v>206</v>
      </c>
      <c r="M5" s="6" t="s">
        <v>207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15">
      <c r="A6" s="29" t="s">
        <v>311</v>
      </c>
      <c r="B6" s="29" t="s">
        <v>312</v>
      </c>
      <c r="C6" s="29" t="s">
        <v>332</v>
      </c>
      <c r="D6"/>
      <c r="E6"/>
      <c r="F6"/>
      <c r="G6"/>
      <c r="H6"/>
      <c r="I6"/>
      <c r="J6"/>
      <c r="K6"/>
      <c r="L6" s="29" t="s">
        <v>208</v>
      </c>
      <c r="M6" s="29" t="s">
        <v>209</v>
      </c>
    </row>
    <row r="7" spans="1:254">
      <c r="A7" s="31" t="s">
        <v>440</v>
      </c>
      <c r="B7" s="29" t="s">
        <v>441</v>
      </c>
      <c r="D7" s="50">
        <v>41311</v>
      </c>
      <c r="E7" s="29">
        <v>150</v>
      </c>
      <c r="G7" s="29">
        <v>0</v>
      </c>
      <c r="H7" s="29">
        <v>20</v>
      </c>
      <c r="I7" s="29">
        <v>0</v>
      </c>
      <c r="J7" s="29">
        <v>0</v>
      </c>
      <c r="K7" s="29">
        <f>E7-SUM(G7:J7)</f>
        <v>130</v>
      </c>
      <c r="L7" s="29" t="s">
        <v>210</v>
      </c>
    </row>
    <row r="8" spans="1:254" ht="15">
      <c r="A8"/>
      <c r="B8"/>
      <c r="C8"/>
      <c r="D8"/>
      <c r="E8"/>
      <c r="F8"/>
    </row>
    <row r="9" spans="1:254" ht="15">
      <c r="A9"/>
      <c r="B9"/>
      <c r="C9"/>
      <c r="D9"/>
      <c r="E9"/>
      <c r="F9"/>
    </row>
    <row r="10" spans="1:254" ht="15">
      <c r="A10"/>
      <c r="B10"/>
      <c r="C10"/>
      <c r="D10"/>
      <c r="E10"/>
      <c r="F10"/>
    </row>
  </sheetData>
  <sheetCalcPr fullCalcOnLoad="1"/>
  <mergeCells count="3">
    <mergeCell ref="A4:K4"/>
    <mergeCell ref="A3:K3"/>
    <mergeCell ref="A1:K1"/>
  </mergeCells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0"/>
  <sheetViews>
    <sheetView zoomScale="125" workbookViewId="0">
      <selection activeCell="E24" sqref="E24"/>
    </sheetView>
  </sheetViews>
  <sheetFormatPr baseColWidth="10" defaultRowHeight="15"/>
  <cols>
    <col min="3" max="3" width="13.85546875" customWidth="1"/>
  </cols>
  <sheetData>
    <row r="1" spans="1:10" ht="36" customHeight="1">
      <c r="A1" s="68" t="s">
        <v>429</v>
      </c>
      <c r="B1" s="68"/>
      <c r="C1" s="68"/>
      <c r="D1" s="68"/>
      <c r="E1" s="68"/>
      <c r="F1" s="68"/>
      <c r="G1" s="68"/>
      <c r="H1" s="68"/>
      <c r="I1" s="68"/>
      <c r="J1" s="68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5" t="s">
        <v>430</v>
      </c>
      <c r="B3" s="16"/>
      <c r="C3" s="16"/>
      <c r="D3" s="16"/>
      <c r="E3" s="16"/>
      <c r="F3" s="1"/>
      <c r="G3" s="80" t="s">
        <v>431</v>
      </c>
      <c r="H3" s="80"/>
      <c r="I3" s="1"/>
      <c r="J3" s="1"/>
    </row>
    <row r="4" spans="1:10">
      <c r="A4" s="27" t="s">
        <v>344</v>
      </c>
      <c r="B4" s="16"/>
      <c r="C4" s="16"/>
      <c r="D4" s="16"/>
      <c r="E4" s="16"/>
      <c r="F4" s="1"/>
      <c r="G4" s="80"/>
      <c r="H4" s="80"/>
      <c r="I4" s="1"/>
      <c r="J4" s="1"/>
    </row>
    <row r="5" spans="1:10">
      <c r="B5" s="1"/>
      <c r="C5" s="1"/>
      <c r="D5" s="1"/>
      <c r="E5" s="1"/>
      <c r="F5" s="1"/>
      <c r="G5" s="1"/>
      <c r="H5" s="1"/>
      <c r="I5" s="1"/>
      <c r="J5" s="1"/>
    </row>
    <row r="6" spans="1:10">
      <c r="A6" s="11" t="s">
        <v>432</v>
      </c>
      <c r="B6" s="11" t="s">
        <v>433</v>
      </c>
      <c r="C6" s="11" t="s">
        <v>434</v>
      </c>
      <c r="D6" s="56"/>
      <c r="E6" s="11" t="s">
        <v>435</v>
      </c>
      <c r="F6" s="11" t="s">
        <v>436</v>
      </c>
      <c r="G6" s="11" t="s">
        <v>437</v>
      </c>
      <c r="H6" s="11" t="s">
        <v>438</v>
      </c>
      <c r="I6" s="11" t="s">
        <v>439</v>
      </c>
      <c r="J6" s="6" t="s">
        <v>326</v>
      </c>
    </row>
    <row r="7" spans="1:10">
      <c r="B7" s="6" t="s">
        <v>433</v>
      </c>
      <c r="C7" s="6" t="s">
        <v>269</v>
      </c>
      <c r="D7" s="34" t="s">
        <v>270</v>
      </c>
      <c r="E7" s="34"/>
      <c r="F7" s="1"/>
      <c r="G7" s="1"/>
      <c r="H7" s="1"/>
      <c r="I7" s="1"/>
      <c r="J7" s="1"/>
    </row>
    <row r="8" spans="1:10">
      <c r="A8" s="11" t="s">
        <v>271</v>
      </c>
      <c r="B8" s="57">
        <f>SUM(Journal!$B266:$C266)</f>
        <v>0</v>
      </c>
      <c r="C8" s="57">
        <f>SUM(Journal!$B265:$C265)</f>
        <v>0</v>
      </c>
      <c r="D8" s="57">
        <f>SUM(Journal!$B264:$C264)</f>
        <v>0</v>
      </c>
      <c r="E8" s="34">
        <f>SUM(B8:D8)</f>
        <v>0</v>
      </c>
      <c r="F8" s="58" t="str">
        <f>IF(B8=0,"N/A",E8*100/B8)</f>
        <v>N/A</v>
      </c>
      <c r="G8" s="59">
        <v>0</v>
      </c>
      <c r="H8" s="59">
        <v>0</v>
      </c>
      <c r="I8" s="59">
        <v>0</v>
      </c>
      <c r="J8" s="6"/>
    </row>
    <row r="9" spans="1:10">
      <c r="A9" s="11" t="s">
        <v>146</v>
      </c>
      <c r="B9" s="57">
        <f>SUM(Journal!$B269:$C269)</f>
        <v>0</v>
      </c>
      <c r="C9" s="57">
        <f>SUM(Journal!$B268:$C268)</f>
        <v>0</v>
      </c>
      <c r="D9" s="57">
        <f>SUM(Journal!$B267:$C267)</f>
        <v>0</v>
      </c>
      <c r="E9" s="34">
        <f t="shared" ref="E9:E13" si="0">SUM(B9:D9)</f>
        <v>0</v>
      </c>
      <c r="F9" s="58" t="str">
        <f t="shared" ref="F9:F19" si="1">IF(B9=0,"N/A",E9*100/B9)</f>
        <v>N/A</v>
      </c>
      <c r="G9" s="59">
        <v>0</v>
      </c>
      <c r="H9" s="59">
        <v>0</v>
      </c>
      <c r="I9" s="59">
        <v>0</v>
      </c>
      <c r="J9" s="6" t="s">
        <v>274</v>
      </c>
    </row>
    <row r="10" spans="1:10">
      <c r="A10" s="11" t="s">
        <v>275</v>
      </c>
      <c r="B10" s="57">
        <f>SUM(Journal!$B272:$C272)</f>
        <v>0</v>
      </c>
      <c r="C10" s="57">
        <f>SUM(Journal!$B271:$C271)</f>
        <v>0</v>
      </c>
      <c r="D10" s="57">
        <f>SUM(Journal!$B270:$C270)</f>
        <v>0</v>
      </c>
      <c r="E10" s="34">
        <f t="shared" si="0"/>
        <v>0</v>
      </c>
      <c r="F10" s="58" t="str">
        <f t="shared" si="1"/>
        <v>N/A</v>
      </c>
      <c r="G10" s="59">
        <v>0</v>
      </c>
      <c r="H10" s="59">
        <v>0</v>
      </c>
      <c r="I10" s="59">
        <v>0</v>
      </c>
      <c r="J10" s="1"/>
    </row>
    <row r="11" spans="1:10">
      <c r="A11" s="11" t="s">
        <v>276</v>
      </c>
      <c r="B11" s="57">
        <f>SUM(Journal!$B275:$C275)</f>
        <v>743.5</v>
      </c>
      <c r="C11" s="57">
        <f>SUM(Journal!$B274:$C274)</f>
        <v>0</v>
      </c>
      <c r="D11" s="57">
        <f>SUM(Journal!$B273:$C273)</f>
        <v>0</v>
      </c>
      <c r="E11" s="34">
        <f t="shared" si="0"/>
        <v>743.5</v>
      </c>
      <c r="F11" s="58">
        <f t="shared" si="1"/>
        <v>100</v>
      </c>
      <c r="G11" s="59">
        <v>0</v>
      </c>
      <c r="H11" s="59">
        <v>0</v>
      </c>
      <c r="I11" s="59">
        <v>0</v>
      </c>
      <c r="J11" s="6"/>
    </row>
    <row r="12" spans="1:10">
      <c r="A12" s="11" t="s">
        <v>277</v>
      </c>
      <c r="B12" s="57">
        <f>SUM(Journal!$B278:$C278)</f>
        <v>0</v>
      </c>
      <c r="C12" s="57">
        <f>SUM(Journal!$B277:$C277)</f>
        <v>0</v>
      </c>
      <c r="D12" s="57">
        <f>SUM(Journal!$B276:$C276)</f>
        <v>0</v>
      </c>
      <c r="E12" s="34">
        <f t="shared" si="0"/>
        <v>0</v>
      </c>
      <c r="F12" s="58" t="str">
        <f t="shared" si="1"/>
        <v>N/A</v>
      </c>
      <c r="G12" s="59">
        <v>0</v>
      </c>
      <c r="H12" s="59">
        <v>0</v>
      </c>
      <c r="I12" s="59">
        <v>0</v>
      </c>
      <c r="J12" s="1"/>
    </row>
    <row r="13" spans="1:10">
      <c r="A13" s="11" t="s">
        <v>278</v>
      </c>
      <c r="B13" s="57">
        <f>SUM(Journal!$B281:$C281)</f>
        <v>0</v>
      </c>
      <c r="C13" s="57">
        <f>SUM(Journal!$B280:$C280)</f>
        <v>0</v>
      </c>
      <c r="D13" s="57">
        <f>SUM(Journal!$B279:$C279)</f>
        <v>0</v>
      </c>
      <c r="E13" s="34">
        <f t="shared" si="0"/>
        <v>0</v>
      </c>
      <c r="F13" s="58" t="str">
        <f t="shared" si="1"/>
        <v>N/A</v>
      </c>
      <c r="G13" s="59">
        <v>0</v>
      </c>
      <c r="H13" s="59">
        <v>0</v>
      </c>
      <c r="I13" s="59">
        <v>0</v>
      </c>
      <c r="J13" s="1"/>
    </row>
    <row r="14" spans="1:10">
      <c r="A14" s="11"/>
      <c r="B14" s="57"/>
      <c r="C14" s="1"/>
      <c r="D14" s="34"/>
      <c r="E14" s="34"/>
      <c r="F14" s="58"/>
      <c r="G14" s="59"/>
      <c r="H14" s="59"/>
      <c r="I14" s="59"/>
      <c r="J14" s="1"/>
    </row>
    <row r="15" spans="1:10">
      <c r="A15" s="11"/>
      <c r="B15" s="57"/>
      <c r="C15" s="1"/>
      <c r="D15" s="34"/>
      <c r="E15" s="34"/>
      <c r="F15" s="58"/>
      <c r="G15" s="59"/>
      <c r="H15" s="59"/>
      <c r="I15" s="59"/>
      <c r="J15" s="1"/>
    </row>
    <row r="16" spans="1:10">
      <c r="A16" s="11" t="s">
        <v>441</v>
      </c>
      <c r="B16" s="57">
        <f>SUM(Journal!$B284:$C284)</f>
        <v>6950</v>
      </c>
      <c r="C16" s="1"/>
      <c r="D16" s="57">
        <f>SUM(Journal!$B283:$C283)</f>
        <v>0</v>
      </c>
      <c r="E16" s="34">
        <f t="shared" ref="E16:E19" si="2">SUM(B16:D16)</f>
        <v>6950</v>
      </c>
      <c r="F16" s="58">
        <f t="shared" si="1"/>
        <v>100</v>
      </c>
      <c r="G16" s="59">
        <v>1</v>
      </c>
      <c r="H16" s="60" t="s">
        <v>279</v>
      </c>
      <c r="I16" s="59">
        <v>0</v>
      </c>
      <c r="J16" s="6"/>
    </row>
    <row r="17" spans="1:10">
      <c r="A17" s="11" t="s">
        <v>280</v>
      </c>
      <c r="B17" s="57">
        <f>SUM(Journal!$B288:$C288)</f>
        <v>0</v>
      </c>
      <c r="C17" s="1"/>
      <c r="D17" s="57">
        <f>SUM(Journal!$B287:$C287)</f>
        <v>0</v>
      </c>
      <c r="E17" s="34">
        <f t="shared" si="2"/>
        <v>0</v>
      </c>
      <c r="F17" s="58" t="str">
        <f t="shared" si="1"/>
        <v>N/A</v>
      </c>
      <c r="G17" s="59">
        <v>0</v>
      </c>
      <c r="H17" s="60" t="s">
        <v>279</v>
      </c>
      <c r="I17" s="59">
        <v>0</v>
      </c>
      <c r="J17" s="1"/>
    </row>
    <row r="18" spans="1:10">
      <c r="A18" s="11" t="s">
        <v>402</v>
      </c>
      <c r="B18" s="57">
        <f>SUM(Journal!$B286:$C286)</f>
        <v>200</v>
      </c>
      <c r="C18" s="1"/>
      <c r="D18" s="57">
        <f>SUM(Journal!$B285:$C285)</f>
        <v>0</v>
      </c>
      <c r="E18" s="34">
        <f t="shared" si="2"/>
        <v>200</v>
      </c>
      <c r="F18" s="58">
        <f t="shared" si="1"/>
        <v>100</v>
      </c>
      <c r="G18" s="59">
        <v>0</v>
      </c>
      <c r="H18" s="60" t="s">
        <v>279</v>
      </c>
      <c r="I18" s="59">
        <v>0</v>
      </c>
      <c r="J18" s="6"/>
    </row>
    <row r="19" spans="1:10">
      <c r="A19" s="11" t="s">
        <v>403</v>
      </c>
      <c r="B19" s="57">
        <f>SUM(Journal!$B290:$C290)</f>
        <v>200</v>
      </c>
      <c r="C19" s="1"/>
      <c r="D19" s="57">
        <f>SUM(Journal!$B289:$C289)</f>
        <v>0</v>
      </c>
      <c r="E19" s="34">
        <f t="shared" si="2"/>
        <v>200</v>
      </c>
      <c r="F19" s="58">
        <f t="shared" si="1"/>
        <v>100</v>
      </c>
      <c r="G19" s="59">
        <v>0</v>
      </c>
      <c r="H19" s="60" t="s">
        <v>461</v>
      </c>
      <c r="I19" s="59">
        <v>0</v>
      </c>
      <c r="J19" s="1"/>
    </row>
    <row r="20" spans="1:10">
      <c r="A20" s="1"/>
      <c r="B20" s="6"/>
      <c r="C20" s="1"/>
      <c r="D20" s="34"/>
      <c r="E20" s="36">
        <f>SUM(E16:E19)</f>
        <v>7350</v>
      </c>
      <c r="F20" s="1"/>
      <c r="G20" s="1"/>
      <c r="H20" s="1"/>
      <c r="I20" s="1"/>
      <c r="J20" s="1"/>
    </row>
  </sheetData>
  <sheetCalcPr fullCalcOnLoad="1"/>
  <mergeCells count="2">
    <mergeCell ref="A1:J1"/>
    <mergeCell ref="G3:H4"/>
  </mergeCells>
  <phoneticPr fontId="6" type="noConversion"/>
  <conditionalFormatting sqref="C8:D13 B7:B20 D16:D19">
    <cfRule type="expression" dxfId="14" priority="1" stopIfTrue="1">
      <formula>0</formula>
    </cfRule>
    <cfRule type="expression" dxfId="13" priority="2" stopIfTrue="1">
      <formula>0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2"/>
  <sheetViews>
    <sheetView topLeftCell="A3" zoomScale="125" zoomScaleSheetLayoutView="100" workbookViewId="0">
      <selection activeCell="B26" sqref="B26"/>
    </sheetView>
  </sheetViews>
  <sheetFormatPr baseColWidth="10" defaultColWidth="7.42578125" defaultRowHeight="14"/>
  <cols>
    <col min="1" max="1" width="4.5703125" style="1" customWidth="1"/>
    <col min="2" max="2" width="18.28515625" style="1" customWidth="1"/>
    <col min="3" max="3" width="2" style="1" customWidth="1"/>
    <col min="4" max="4" width="10.7109375" style="1" customWidth="1"/>
    <col min="5" max="5" width="10.5703125" style="1" customWidth="1"/>
    <col min="6" max="6" width="3.42578125" style="1" customWidth="1"/>
    <col min="7" max="16384" width="7.42578125" style="1"/>
  </cols>
  <sheetData>
    <row r="1" spans="1:12" s="18" customFormat="1" ht="41" customHeight="1">
      <c r="A1" s="68" t="s">
        <v>168</v>
      </c>
      <c r="B1" s="68"/>
      <c r="C1" s="68"/>
      <c r="D1" s="68"/>
      <c r="E1" s="68"/>
      <c r="F1" s="68"/>
      <c r="G1" s="68"/>
      <c r="H1" s="68"/>
      <c r="I1" s="68"/>
      <c r="J1" s="17"/>
      <c r="K1" s="17"/>
      <c r="L1" s="17"/>
    </row>
    <row r="3" spans="1:12" ht="15">
      <c r="A3" s="15" t="s">
        <v>46</v>
      </c>
      <c r="B3" s="16"/>
      <c r="C3" s="16"/>
      <c r="D3" s="16"/>
      <c r="E3" s="16"/>
    </row>
    <row r="4" spans="1:12">
      <c r="A4" s="27" t="s">
        <v>218</v>
      </c>
      <c r="B4" s="16"/>
      <c r="C4" s="16"/>
      <c r="D4" s="16"/>
      <c r="E4" s="16"/>
    </row>
    <row r="5" spans="1:12">
      <c r="A5" s="31"/>
    </row>
    <row r="6" spans="1:12">
      <c r="A6" s="11" t="s">
        <v>353</v>
      </c>
      <c r="D6" s="2"/>
      <c r="E6" s="2"/>
    </row>
    <row r="7" spans="1:12">
      <c r="B7" s="6" t="s">
        <v>161</v>
      </c>
      <c r="D7" s="19">
        <v>250</v>
      </c>
      <c r="E7" s="19"/>
      <c r="G7" s="1" t="s">
        <v>162</v>
      </c>
    </row>
    <row r="8" spans="1:12">
      <c r="A8" s="6"/>
      <c r="B8" s="6" t="s">
        <v>448</v>
      </c>
      <c r="D8" s="19">
        <v>200</v>
      </c>
      <c r="E8" s="19"/>
      <c r="G8" s="6" t="s">
        <v>41</v>
      </c>
    </row>
    <row r="9" spans="1:12">
      <c r="B9" s="12" t="s">
        <v>447</v>
      </c>
      <c r="D9" s="19">
        <v>11000</v>
      </c>
      <c r="E9" s="19"/>
      <c r="G9" s="1" t="s">
        <v>163</v>
      </c>
      <c r="H9" s="6" t="s">
        <v>287</v>
      </c>
    </row>
    <row r="10" spans="1:12">
      <c r="B10" s="12" t="s">
        <v>406</v>
      </c>
      <c r="D10" s="19">
        <v>15000</v>
      </c>
      <c r="E10" s="19"/>
      <c r="G10" s="1" t="s">
        <v>164</v>
      </c>
    </row>
    <row r="11" spans="1:12">
      <c r="B11" s="6" t="s">
        <v>202</v>
      </c>
      <c r="D11" s="19">
        <v>100</v>
      </c>
      <c r="E11" s="19"/>
      <c r="G11" s="6" t="s">
        <v>42</v>
      </c>
    </row>
    <row r="12" spans="1:12">
      <c r="B12" s="6" t="s">
        <v>265</v>
      </c>
      <c r="D12" s="19">
        <v>1</v>
      </c>
      <c r="E12" s="19"/>
    </row>
    <row r="13" spans="1:12">
      <c r="B13" s="6" t="s">
        <v>151</v>
      </c>
      <c r="D13" s="19">
        <v>4000</v>
      </c>
      <c r="E13" s="19"/>
      <c r="G13" s="6" t="s">
        <v>192</v>
      </c>
    </row>
    <row r="14" spans="1:12">
      <c r="B14" s="6" t="s">
        <v>195</v>
      </c>
      <c r="D14" s="19">
        <v>500</v>
      </c>
      <c r="E14" s="19"/>
      <c r="G14" s="6" t="s">
        <v>292</v>
      </c>
    </row>
    <row r="15" spans="1:12">
      <c r="B15" s="6" t="s">
        <v>420</v>
      </c>
      <c r="D15" s="19">
        <v>200</v>
      </c>
      <c r="E15" s="19"/>
      <c r="G15" s="6" t="s">
        <v>85</v>
      </c>
    </row>
    <row r="16" spans="1:12">
      <c r="B16" s="6"/>
      <c r="D16" s="19"/>
      <c r="E16" s="20">
        <f>SUM(D7:D15)</f>
        <v>31251</v>
      </c>
    </row>
    <row r="17" spans="1:7">
      <c r="D17" s="19"/>
      <c r="E17" s="19"/>
    </row>
    <row r="18" spans="1:7">
      <c r="A18" s="11" t="s">
        <v>282</v>
      </c>
      <c r="D18" s="19"/>
      <c r="E18" s="19"/>
    </row>
    <row r="19" spans="1:7">
      <c r="A19" s="11"/>
      <c r="B19" s="6" t="s">
        <v>286</v>
      </c>
      <c r="D19" s="19">
        <v>-2000</v>
      </c>
      <c r="E19" s="19"/>
      <c r="G19" s="6" t="s">
        <v>103</v>
      </c>
    </row>
    <row r="20" spans="1:7">
      <c r="A20" s="11"/>
      <c r="B20" s="6" t="s">
        <v>448</v>
      </c>
      <c r="D20" s="19">
        <v>-100</v>
      </c>
      <c r="E20" s="19"/>
      <c r="G20" s="6" t="s">
        <v>41</v>
      </c>
    </row>
    <row r="21" spans="1:7">
      <c r="B21" s="6" t="s">
        <v>136</v>
      </c>
      <c r="D21" s="19">
        <v>-300</v>
      </c>
      <c r="E21" s="19"/>
      <c r="G21" s="1" t="s">
        <v>267</v>
      </c>
    </row>
    <row r="22" spans="1:7">
      <c r="B22" s="12" t="s">
        <v>447</v>
      </c>
      <c r="D22" s="19">
        <v>-6000</v>
      </c>
      <c r="E22" s="19"/>
      <c r="G22" s="1" t="s">
        <v>450</v>
      </c>
    </row>
    <row r="23" spans="1:7">
      <c r="B23" s="12" t="s">
        <v>406</v>
      </c>
      <c r="D23" s="19">
        <v>-3000</v>
      </c>
      <c r="E23" s="19"/>
      <c r="G23" s="1" t="s">
        <v>110</v>
      </c>
    </row>
    <row r="24" spans="1:7">
      <c r="B24" s="6" t="s">
        <v>202</v>
      </c>
      <c r="D24" s="19">
        <v>-3000</v>
      </c>
      <c r="E24" s="19"/>
      <c r="G24" s="6" t="s">
        <v>194</v>
      </c>
    </row>
    <row r="25" spans="1:7">
      <c r="B25" s="6" t="s">
        <v>107</v>
      </c>
      <c r="D25" s="19">
        <v>-100</v>
      </c>
      <c r="E25" s="19"/>
      <c r="G25" s="1" t="s">
        <v>473</v>
      </c>
    </row>
    <row r="26" spans="1:7">
      <c r="B26" s="6" t="s">
        <v>105</v>
      </c>
      <c r="D26" s="19">
        <v>-5000</v>
      </c>
      <c r="E26" s="19"/>
      <c r="G26" s="1" t="s">
        <v>474</v>
      </c>
    </row>
    <row r="27" spans="1:7">
      <c r="B27" s="6" t="s">
        <v>151</v>
      </c>
      <c r="D27" s="19">
        <v>-200</v>
      </c>
      <c r="E27" s="19"/>
      <c r="G27" s="1" t="s">
        <v>205</v>
      </c>
    </row>
    <row r="28" spans="1:7">
      <c r="B28" s="6" t="s">
        <v>307</v>
      </c>
      <c r="D28" s="19">
        <v>-1000</v>
      </c>
      <c r="E28" s="19"/>
      <c r="G28" s="6" t="s">
        <v>104</v>
      </c>
    </row>
    <row r="29" spans="1:7">
      <c r="B29" s="6" t="s">
        <v>288</v>
      </c>
      <c r="D29" s="19">
        <v>0</v>
      </c>
      <c r="E29" s="19"/>
    </row>
    <row r="30" spans="1:7">
      <c r="D30" s="19"/>
      <c r="E30" s="20">
        <f>SUM(D19:D29)</f>
        <v>-20700</v>
      </c>
    </row>
    <row r="31" spans="1:7">
      <c r="D31" s="19"/>
      <c r="E31" s="19"/>
    </row>
    <row r="32" spans="1:7" ht="15" thickBot="1">
      <c r="A32" s="11" t="s">
        <v>78</v>
      </c>
      <c r="D32" s="19"/>
      <c r="E32" s="21">
        <f>SUM(E16:E30)</f>
        <v>10551</v>
      </c>
    </row>
  </sheetData>
  <sheetCalcPr fullCalcOnLoad="1"/>
  <mergeCells count="1">
    <mergeCell ref="A1:I1"/>
  </mergeCells>
  <phoneticPr fontId="6" type="noConversion"/>
  <conditionalFormatting sqref="B7:B16 B21:B29">
    <cfRule type="expression" dxfId="12" priority="1" stopIfTrue="1">
      <formula>0</formula>
    </cfRule>
    <cfRule type="expression" dxfId="11" priority="2" stopIfTrue="1">
      <formula>0</formula>
    </cfRule>
  </conditionalFormatting>
  <pageMargins left="0.78749999999999998" right="0.78749999999999998" top="1.0527777777777778" bottom="1.0527777777777778" header="0.78749999999999998" footer="0.78749999999999998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1"/>
  <sheetViews>
    <sheetView workbookViewId="0">
      <selection sqref="A1:G1"/>
    </sheetView>
  </sheetViews>
  <sheetFormatPr baseColWidth="10" defaultColWidth="7.42578125" defaultRowHeight="14"/>
  <cols>
    <col min="1" max="1" width="7.42578125" style="1"/>
    <col min="2" max="3" width="7.7109375" style="2" customWidth="1"/>
    <col min="4" max="4" width="17.140625" style="1" customWidth="1"/>
    <col min="5" max="5" width="24.28515625" style="1" customWidth="1"/>
    <col min="6" max="6" width="7.42578125" style="1"/>
    <col min="7" max="7" width="10.140625" style="1" customWidth="1"/>
    <col min="8" max="16384" width="7.42578125" style="1"/>
  </cols>
  <sheetData>
    <row r="1" spans="1:7" ht="16.5" customHeight="1">
      <c r="A1" s="81" t="s">
        <v>212</v>
      </c>
      <c r="B1" s="81"/>
      <c r="C1" s="81"/>
      <c r="D1" s="81"/>
      <c r="E1" s="81"/>
      <c r="F1" s="81"/>
      <c r="G1" s="81"/>
    </row>
    <row r="2" spans="1:7">
      <c r="A2" s="3" t="s">
        <v>293</v>
      </c>
      <c r="B2" s="4" t="s">
        <v>294</v>
      </c>
      <c r="C2" s="4" t="s">
        <v>157</v>
      </c>
      <c r="D2" s="3" t="s">
        <v>213</v>
      </c>
      <c r="E2" s="3" t="s">
        <v>160</v>
      </c>
      <c r="F2" s="22" t="s">
        <v>200</v>
      </c>
      <c r="G2" s="23" t="s">
        <v>444</v>
      </c>
    </row>
    <row r="3" spans="1:7">
      <c r="A3" s="5"/>
      <c r="B3" s="24" t="s">
        <v>405</v>
      </c>
      <c r="C3" s="24">
        <v>120</v>
      </c>
      <c r="D3" s="1" t="s">
        <v>231</v>
      </c>
      <c r="E3" s="1" t="s">
        <v>45</v>
      </c>
      <c r="F3" s="1" t="s">
        <v>478</v>
      </c>
      <c r="G3" s="1" t="s">
        <v>237</v>
      </c>
    </row>
    <row r="4" spans="1:7">
      <c r="A4" s="5"/>
      <c r="B4" s="24" t="s">
        <v>405</v>
      </c>
      <c r="C4" s="24">
        <v>160</v>
      </c>
      <c r="D4" s="1" t="s">
        <v>203</v>
      </c>
      <c r="E4" s="1" t="s">
        <v>106</v>
      </c>
      <c r="F4" s="1" t="s">
        <v>478</v>
      </c>
      <c r="G4" s="1" t="s">
        <v>237</v>
      </c>
    </row>
    <row r="5" spans="1:7">
      <c r="A5" s="5"/>
      <c r="B5" s="24"/>
      <c r="C5" s="24">
        <f>50*150</f>
        <v>7500</v>
      </c>
      <c r="D5" s="1" t="s">
        <v>170</v>
      </c>
      <c r="E5" s="1" t="s">
        <v>421</v>
      </c>
      <c r="F5" s="1" t="s">
        <v>478</v>
      </c>
      <c r="G5" s="1" t="s">
        <v>237</v>
      </c>
    </row>
    <row r="6" spans="1:7">
      <c r="B6" s="24" t="s">
        <v>405</v>
      </c>
      <c r="C6" s="24">
        <v>2600</v>
      </c>
      <c r="D6" s="1" t="s">
        <v>422</v>
      </c>
      <c r="E6" s="1" t="s">
        <v>404</v>
      </c>
      <c r="F6" s="1" t="s">
        <v>478</v>
      </c>
      <c r="G6" s="1" t="s">
        <v>304</v>
      </c>
    </row>
    <row r="7" spans="1:7">
      <c r="B7" s="24"/>
      <c r="C7" s="24">
        <v>520</v>
      </c>
      <c r="D7" s="1" t="s">
        <v>231</v>
      </c>
      <c r="E7" s="1" t="s">
        <v>138</v>
      </c>
      <c r="F7" s="1" t="s">
        <v>478</v>
      </c>
      <c r="G7" s="1" t="s">
        <v>139</v>
      </c>
    </row>
    <row r="8" spans="1:7">
      <c r="B8" s="24"/>
      <c r="C8" s="24">
        <v>500</v>
      </c>
      <c r="D8" s="1" t="s">
        <v>231</v>
      </c>
      <c r="E8" s="1" t="s">
        <v>140</v>
      </c>
      <c r="F8" s="1" t="s">
        <v>141</v>
      </c>
      <c r="G8" s="1" t="s">
        <v>139</v>
      </c>
    </row>
    <row r="9" spans="1:7">
      <c r="B9" s="24"/>
      <c r="C9" s="24">
        <v>200</v>
      </c>
      <c r="D9" s="1" t="s">
        <v>231</v>
      </c>
      <c r="E9" s="1" t="s">
        <v>423</v>
      </c>
      <c r="F9" s="1" t="s">
        <v>478</v>
      </c>
      <c r="G9" s="1" t="s">
        <v>77</v>
      </c>
    </row>
    <row r="10" spans="1:7">
      <c r="B10" s="24"/>
      <c r="C10" s="24">
        <v>360</v>
      </c>
      <c r="D10" s="1" t="s">
        <v>231</v>
      </c>
      <c r="E10" s="6" t="s">
        <v>284</v>
      </c>
      <c r="F10" s="1" t="s">
        <v>109</v>
      </c>
      <c r="G10" s="1" t="s">
        <v>295</v>
      </c>
    </row>
    <row r="11" spans="1:7">
      <c r="B11" s="24"/>
      <c r="C11" s="24">
        <v>126</v>
      </c>
      <c r="D11" s="1" t="s">
        <v>231</v>
      </c>
      <c r="E11" s="6" t="s">
        <v>81</v>
      </c>
      <c r="F11" s="1" t="s">
        <v>109</v>
      </c>
      <c r="G11" s="1" t="s">
        <v>295</v>
      </c>
    </row>
    <row r="12" spans="1:7">
      <c r="B12" s="24"/>
      <c r="C12" s="24">
        <v>860</v>
      </c>
      <c r="D12" s="1" t="s">
        <v>231</v>
      </c>
      <c r="E12" s="6" t="s">
        <v>367</v>
      </c>
      <c r="F12" s="1" t="s">
        <v>109</v>
      </c>
      <c r="G12" s="1" t="s">
        <v>77</v>
      </c>
    </row>
    <row r="13" spans="1:7">
      <c r="B13" s="24"/>
      <c r="C13" s="24">
        <v>2667</v>
      </c>
      <c r="D13" s="1" t="s">
        <v>231</v>
      </c>
      <c r="E13" s="6" t="s">
        <v>487</v>
      </c>
      <c r="F13" s="1" t="s">
        <v>109</v>
      </c>
      <c r="G13" s="1" t="s">
        <v>77</v>
      </c>
    </row>
    <row r="14" spans="1:7">
      <c r="B14" s="24"/>
      <c r="C14" s="24">
        <v>1000</v>
      </c>
      <c r="D14" s="1" t="s">
        <v>231</v>
      </c>
      <c r="E14" s="6" t="s">
        <v>365</v>
      </c>
      <c r="F14" s="1" t="s">
        <v>478</v>
      </c>
      <c r="G14" s="1" t="s">
        <v>420</v>
      </c>
    </row>
    <row r="15" spans="1:7">
      <c r="A15" s="5"/>
      <c r="B15" s="24" t="s">
        <v>405</v>
      </c>
      <c r="C15" s="24"/>
      <c r="E15" s="1" t="s">
        <v>419</v>
      </c>
      <c r="F15" s="1" t="s">
        <v>266</v>
      </c>
      <c r="G15" s="1" t="s">
        <v>264</v>
      </c>
    </row>
    <row r="16" spans="1:7">
      <c r="A16" s="5"/>
      <c r="B16" s="24" t="s">
        <v>405</v>
      </c>
      <c r="C16" s="24" t="s">
        <v>405</v>
      </c>
      <c r="E16" s="1" t="s">
        <v>135</v>
      </c>
      <c r="F16" s="1" t="s">
        <v>266</v>
      </c>
      <c r="G16" s="1" t="s">
        <v>350</v>
      </c>
    </row>
    <row r="17" spans="1:7">
      <c r="A17" s="5"/>
      <c r="B17" s="24" t="s">
        <v>405</v>
      </c>
      <c r="C17" s="24" t="s">
        <v>405</v>
      </c>
      <c r="E17" s="1" t="s">
        <v>351</v>
      </c>
      <c r="F17" s="1" t="s">
        <v>199</v>
      </c>
      <c r="G17" s="1" t="s">
        <v>196</v>
      </c>
    </row>
    <row r="19" spans="1:7">
      <c r="B19" s="24"/>
      <c r="C19" s="24"/>
    </row>
    <row r="20" spans="1:7">
      <c r="B20" s="24"/>
      <c r="C20" s="24"/>
    </row>
    <row r="21" spans="1:7">
      <c r="B21" s="24"/>
      <c r="C21" s="24"/>
    </row>
  </sheetData>
  <sheetCalcPr fullCalcOnLoad="1"/>
  <mergeCells count="1">
    <mergeCell ref="A1:G1"/>
  </mergeCells>
  <phoneticPr fontId="6" type="noConversion"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8"/>
  <sheetViews>
    <sheetView workbookViewId="0"/>
  </sheetViews>
  <sheetFormatPr baseColWidth="10" defaultColWidth="10.7109375" defaultRowHeight="15"/>
  <cols>
    <col min="1" max="16384" width="10.7109375" style="42"/>
  </cols>
  <sheetData>
    <row r="1" spans="1:15">
      <c r="B1" s="42" t="s">
        <v>44</v>
      </c>
      <c r="C1" s="42" t="s">
        <v>296</v>
      </c>
      <c r="D1" s="42" t="s">
        <v>366</v>
      </c>
      <c r="E1" s="42" t="s">
        <v>300</v>
      </c>
      <c r="F1" s="42" t="s">
        <v>302</v>
      </c>
      <c r="G1" s="42" t="s">
        <v>417</v>
      </c>
      <c r="H1" s="42" t="s">
        <v>297</v>
      </c>
      <c r="I1" s="42" t="s">
        <v>298</v>
      </c>
      <c r="J1" s="42" t="s">
        <v>299</v>
      </c>
      <c r="K1" s="42" t="s">
        <v>301</v>
      </c>
      <c r="L1" s="42" t="s">
        <v>165</v>
      </c>
      <c r="M1" s="42" t="s">
        <v>166</v>
      </c>
      <c r="N1" s="42" t="s">
        <v>167</v>
      </c>
      <c r="O1" s="42" t="s">
        <v>149</v>
      </c>
    </row>
    <row r="2" spans="1:15">
      <c r="A2" s="42">
        <v>2007</v>
      </c>
      <c r="B2" s="43">
        <v>1115.3800000000001</v>
      </c>
      <c r="C2" s="42">
        <v>1124.6199999999999</v>
      </c>
      <c r="D2" s="42">
        <v>-9.24</v>
      </c>
      <c r="E2" s="42">
        <f t="shared" ref="E2:E7" si="0">C2+D2</f>
        <v>1115.3799999999999</v>
      </c>
      <c r="F2" s="42">
        <v>400</v>
      </c>
      <c r="G2" s="42">
        <v>0</v>
      </c>
      <c r="H2" s="42">
        <v>0</v>
      </c>
      <c r="I2" s="42">
        <v>0</v>
      </c>
      <c r="J2" s="42">
        <v>0</v>
      </c>
      <c r="K2" s="42">
        <f t="shared" ref="K2:K8" si="1">(E2-F2-G2-H2-I2-J2)</f>
        <v>715.37999999999988</v>
      </c>
    </row>
    <row r="3" spans="1:15">
      <c r="A3" s="42">
        <v>2008</v>
      </c>
      <c r="B3" s="42">
        <v>1202.52</v>
      </c>
      <c r="C3" s="42">
        <v>174.59</v>
      </c>
      <c r="D3" s="42">
        <v>-87.45</v>
      </c>
      <c r="E3" s="42">
        <f t="shared" si="0"/>
        <v>87.14</v>
      </c>
      <c r="F3" s="42">
        <v>80</v>
      </c>
      <c r="G3" s="42">
        <v>0</v>
      </c>
      <c r="H3" s="42">
        <v>0</v>
      </c>
      <c r="I3" s="42">
        <v>0</v>
      </c>
      <c r="J3" s="42">
        <v>0</v>
      </c>
      <c r="K3" s="42">
        <f t="shared" si="1"/>
        <v>7.1400000000000006</v>
      </c>
    </row>
    <row r="4" spans="1:15">
      <c r="A4" s="42">
        <v>2009</v>
      </c>
      <c r="B4" s="42">
        <v>1228.32</v>
      </c>
      <c r="C4" s="42">
        <v>5442.02</v>
      </c>
      <c r="D4" s="42">
        <v>-5416.22</v>
      </c>
      <c r="E4" s="42">
        <f t="shared" si="0"/>
        <v>25.800000000000182</v>
      </c>
      <c r="F4" s="42">
        <v>1284</v>
      </c>
      <c r="G4" s="42">
        <v>1200</v>
      </c>
      <c r="H4" s="42">
        <v>0</v>
      </c>
      <c r="I4" s="42">
        <v>-2064.89</v>
      </c>
      <c r="J4" s="42">
        <v>0</v>
      </c>
      <c r="K4" s="42">
        <f>(E4-F4-G4-H4-I4-J4)</f>
        <v>-393.30999999999995</v>
      </c>
      <c r="L4" s="42">
        <v>1290</v>
      </c>
      <c r="M4" s="42">
        <v>90</v>
      </c>
    </row>
    <row r="5" spans="1:15">
      <c r="A5" s="42">
        <v>2010</v>
      </c>
      <c r="B5" s="42">
        <v>7661.73</v>
      </c>
      <c r="C5" s="42">
        <v>17819.900000000001</v>
      </c>
      <c r="D5" s="42">
        <v>-11386.49</v>
      </c>
      <c r="E5" s="42">
        <f t="shared" si="0"/>
        <v>6433.4100000000017</v>
      </c>
      <c r="F5" s="42">
        <v>4068</v>
      </c>
      <c r="G5" s="42">
        <v>6118.6</v>
      </c>
      <c r="H5" s="42">
        <v>1283.3399999999999</v>
      </c>
      <c r="I5" s="42">
        <v>-2381.54</v>
      </c>
      <c r="J5" s="42">
        <v>-2362.9</v>
      </c>
      <c r="K5" s="42">
        <f t="shared" si="1"/>
        <v>-292.08999999999878</v>
      </c>
      <c r="L5" s="42">
        <v>1704</v>
      </c>
      <c r="M5" s="42">
        <v>88</v>
      </c>
      <c r="N5" s="42">
        <v>670</v>
      </c>
      <c r="O5" s="42" t="s">
        <v>456</v>
      </c>
    </row>
    <row r="6" spans="1:15">
      <c r="A6" s="42">
        <v>2011</v>
      </c>
      <c r="B6" s="42">
        <v>20752.11</v>
      </c>
      <c r="C6" s="42">
        <v>27839.43</v>
      </c>
      <c r="D6" s="42">
        <v>-14749.05</v>
      </c>
      <c r="E6" s="42">
        <f t="shared" si="0"/>
        <v>13090.380000000001</v>
      </c>
      <c r="F6" s="42">
        <v>3565</v>
      </c>
      <c r="G6" s="42">
        <v>11990</v>
      </c>
      <c r="H6" s="42">
        <v>478.59</v>
      </c>
      <c r="I6" s="42">
        <v>-3055.32</v>
      </c>
      <c r="J6" s="42">
        <v>-1639.24</v>
      </c>
      <c r="K6" s="42">
        <f t="shared" si="1"/>
        <v>1751.350000000001</v>
      </c>
      <c r="L6" s="42">
        <v>2176</v>
      </c>
      <c r="M6" s="42">
        <v>147</v>
      </c>
      <c r="N6" s="42">
        <v>1406</v>
      </c>
      <c r="O6" s="42" t="s">
        <v>457</v>
      </c>
    </row>
    <row r="7" spans="1:15">
      <c r="A7" s="42">
        <v>2012</v>
      </c>
      <c r="B7" s="42">
        <v>18398.849999999999</v>
      </c>
      <c r="C7" s="42">
        <v>13411.94</v>
      </c>
      <c r="D7" s="42">
        <v>-15765.29</v>
      </c>
      <c r="E7" s="42">
        <f t="shared" si="0"/>
        <v>-2353.3500000000004</v>
      </c>
      <c r="F7" s="42">
        <v>5080</v>
      </c>
      <c r="G7" s="42">
        <v>3772</v>
      </c>
      <c r="H7" s="42">
        <v>-5299</v>
      </c>
      <c r="I7" s="42">
        <v>-4500</v>
      </c>
      <c r="J7" s="42">
        <v>0</v>
      </c>
      <c r="K7" s="42">
        <f t="shared" si="1"/>
        <v>-1406.3500000000004</v>
      </c>
      <c r="L7" s="42">
        <v>3320</v>
      </c>
      <c r="M7" s="42">
        <v>290</v>
      </c>
      <c r="N7" s="46">
        <v>890</v>
      </c>
      <c r="O7" s="46" t="s">
        <v>357</v>
      </c>
    </row>
    <row r="8" spans="1:15">
      <c r="A8" s="42">
        <v>2013</v>
      </c>
      <c r="K8" s="42">
        <f t="shared" si="1"/>
        <v>0</v>
      </c>
      <c r="L8" s="44">
        <v>4600</v>
      </c>
      <c r="M8" s="44">
        <v>450</v>
      </c>
    </row>
  </sheetData>
  <sheetCalcPr fullCalcOnLoad="1"/>
  <phoneticPr fontId="6" type="noConversion"/>
  <conditionalFormatting sqref="B5">
    <cfRule type="cellIs" dxfId="10" priority="1" stopIfTrue="1" operator="equal">
      <formula>$C$5-$D$5+$B$4</formula>
    </cfRule>
  </conditionalFormatting>
  <conditionalFormatting sqref="B2">
    <cfRule type="cellIs" dxfId="9" priority="2" stopIfTrue="1" operator="equal">
      <formula>$C$2-$D$2</formula>
    </cfRule>
  </conditionalFormatting>
  <conditionalFormatting sqref="B3">
    <cfRule type="cellIs" dxfId="8" priority="3" stopIfTrue="1" operator="equal">
      <formula>$C$3-$D$3+$B$2</formula>
    </cfRule>
  </conditionalFormatting>
  <conditionalFormatting sqref="B4">
    <cfRule type="cellIs" dxfId="7" priority="4" stopIfTrue="1" operator="equal">
      <formula>$C$4-$D$4+$B$3</formula>
    </cfRule>
  </conditionalFormatting>
  <conditionalFormatting sqref="B6:B8">
    <cfRule type="cellIs" dxfId="6" priority="5" stopIfTrue="1" operator="equal">
      <formula>$C$6-$D$6+$B$5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Notes</vt:lpstr>
      <vt:lpstr>Journal</vt:lpstr>
      <vt:lpstr>Balance Sheet</vt:lpstr>
      <vt:lpstr>Income Statement</vt:lpstr>
      <vt:lpstr>Cash Flow</vt:lpstr>
      <vt:lpstr>CB people</vt:lpstr>
      <vt:lpstr>P&amp;L by Cert</vt:lpstr>
      <vt:lpstr>Budget 2012</vt:lpstr>
      <vt:lpstr>Off-book expenses</vt:lpstr>
      <vt:lpstr>Historical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Grant Kerr</cp:lastModifiedBy>
  <cp:lastPrinted>2011-12-29T20:00:32Z</cp:lastPrinted>
  <dcterms:created xsi:type="dcterms:W3CDTF">2011-01-04T21:30:20Z</dcterms:created>
  <dcterms:modified xsi:type="dcterms:W3CDTF">2013-11-14T20:15:25Z</dcterms:modified>
</cp:coreProperties>
</file>