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harts/chart1.xml" ContentType="application/vnd.openxmlformats-officedocument.drawingml.chart+xml"/>
  <Override PartName="/xl/charts/chart3.xml" ContentType="application/vnd.openxmlformats-officedocument.drawingml.char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vml" ContentType="application/vnd.openxmlformats-officedocument.vmlDrawing"/>
  <Override PartName="/xl/worksheets/sheet3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140" windowWidth="21880" windowHeight="10760" tabRatio="616" activeTab="1"/>
  </bookViews>
  <sheets>
    <sheet name="Notes" sheetId="11" r:id="rId1"/>
    <sheet name="Journal" sheetId="1" r:id="rId2"/>
    <sheet name="Balance Sheet" sheetId="2" r:id="rId3"/>
    <sheet name="Income Statement" sheetId="3" r:id="rId4"/>
    <sheet name="Cash Flow" sheetId="4" r:id="rId5"/>
    <sheet name="Budget 2012" sheetId="13" r:id="rId6"/>
    <sheet name="Off-book expenses" sheetId="9" r:id="rId7"/>
    <sheet name="Historical" sheetId="14" r:id="rId8"/>
  </sheets>
  <definedNames>
    <definedName name="_xlnm._FilterDatabase" localSheetId="1" hidden="1">Journal!$H$6:$H$200</definedName>
  </definedNames>
  <calcPr calcId="130407" iterateDelta="1E-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4" i="2"/>
  <c r="D7"/>
  <c r="D8"/>
  <c r="E9"/>
  <c r="D15"/>
  <c r="E16"/>
  <c r="F17"/>
  <c r="F10"/>
  <c r="E16" i="13"/>
  <c r="E30"/>
  <c r="E32"/>
  <c r="A5" i="4"/>
  <c r="E6"/>
  <c r="D7"/>
  <c r="D8"/>
  <c r="D9"/>
  <c r="D10"/>
  <c r="D11"/>
  <c r="D12"/>
  <c r="D13"/>
  <c r="D14"/>
  <c r="D15"/>
  <c r="D16"/>
  <c r="D17"/>
  <c r="D18"/>
  <c r="D19"/>
  <c r="D20"/>
  <c r="D21"/>
  <c r="E23"/>
  <c r="E24"/>
  <c r="E2" i="14"/>
  <c r="K2"/>
  <c r="E3"/>
  <c r="K3"/>
  <c r="E4"/>
  <c r="K4"/>
  <c r="E5"/>
  <c r="K5"/>
  <c r="E6"/>
  <c r="K6"/>
  <c r="K7"/>
  <c r="K8"/>
  <c r="A5" i="3"/>
  <c r="D7"/>
  <c r="D8"/>
  <c r="D9"/>
  <c r="D10"/>
  <c r="D11"/>
  <c r="D12"/>
  <c r="D13"/>
  <c r="D14"/>
  <c r="D15"/>
  <c r="D16"/>
  <c r="D17"/>
  <c r="D18"/>
  <c r="D19"/>
  <c r="E20"/>
  <c r="D23"/>
  <c r="D24"/>
  <c r="D25"/>
  <c r="D26"/>
  <c r="D27"/>
  <c r="D28"/>
  <c r="D29"/>
  <c r="D30"/>
  <c r="D31"/>
  <c r="D32"/>
  <c r="D33"/>
  <c r="D34"/>
  <c r="E35"/>
  <c r="E37"/>
  <c r="D70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I66"/>
  <c r="I67"/>
  <c r="I68"/>
  <c r="I69"/>
  <c r="I65"/>
  <c r="B205"/>
  <c r="C205"/>
  <c r="D205"/>
  <c r="E205"/>
  <c r="I58"/>
  <c r="I53"/>
  <c r="D71"/>
  <c r="D72"/>
  <c r="D73"/>
  <c r="D74"/>
  <c r="D75"/>
  <c r="D76"/>
  <c r="D77"/>
  <c r="D78"/>
  <c r="D79"/>
  <c r="D80"/>
  <c r="D81"/>
  <c r="D82"/>
  <c r="D83"/>
  <c r="D84"/>
  <c r="D85"/>
  <c r="D86"/>
  <c r="D87"/>
  <c r="I47"/>
  <c r="I48"/>
  <c r="I49"/>
  <c r="I50"/>
  <c r="I51"/>
  <c r="I52"/>
  <c r="I40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1"/>
  <c r="I42"/>
  <c r="I43"/>
  <c r="I44"/>
  <c r="N44"/>
  <c r="I45"/>
  <c r="N45"/>
  <c r="I46"/>
  <c r="M46"/>
  <c r="N46"/>
  <c r="I54"/>
  <c r="I55"/>
  <c r="I56"/>
  <c r="I57"/>
  <c r="I59"/>
  <c r="I60"/>
  <c r="I61"/>
  <c r="I62"/>
  <c r="I63"/>
  <c r="I64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B202"/>
  <c r="C202"/>
  <c r="D202"/>
  <c r="B206"/>
  <c r="B204"/>
  <c r="C206"/>
  <c r="C204"/>
  <c r="D206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09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09"/>
  <c r="D207"/>
  <c r="D3" i="11"/>
  <c r="D4"/>
  <c r="C5"/>
  <c r="D5"/>
  <c r="C6"/>
  <c r="D6"/>
  <c r="C7"/>
  <c r="D7"/>
  <c r="C8"/>
  <c r="D8"/>
  <c r="D9"/>
  <c r="D10"/>
  <c r="C5" i="9"/>
</calcChain>
</file>

<file path=xl/sharedStrings.xml><?xml version="1.0" encoding="utf-8"?>
<sst xmlns="http://schemas.openxmlformats.org/spreadsheetml/2006/main" count="542" uniqueCount="265">
  <si>
    <t>IPMA Fee (Euro)</t>
    <phoneticPr fontId="6" type="noConversion"/>
  </si>
  <si>
    <t>#members</t>
    <phoneticPr fontId="6" type="noConversion"/>
  </si>
  <si>
    <t>Cert fee (Euro)</t>
    <phoneticPr fontId="6" type="noConversion"/>
  </si>
  <si>
    <t>#Cert</t>
    <phoneticPr fontId="6" type="noConversion"/>
  </si>
  <si>
    <t>9D</t>
    <phoneticPr fontId="6" type="noConversion"/>
  </si>
  <si>
    <t>3A, 12D</t>
    <phoneticPr fontId="6" type="noConversion"/>
  </si>
  <si>
    <t>Code</t>
  </si>
  <si>
    <t>certification</t>
  </si>
  <si>
    <t>150 hours per year</t>
  </si>
  <si>
    <t xml:space="preserve"> - requires members to renew</t>
    <phoneticPr fontId="6" type="noConversion"/>
  </si>
  <si>
    <t>Totals by Account</t>
  </si>
  <si>
    <t>Income – year to date</t>
  </si>
  <si>
    <t>Totals by Category</t>
  </si>
  <si>
    <t>IPMA Certification - #D</t>
    <phoneticPr fontId="6" type="noConversion"/>
  </si>
  <si>
    <t>brochures, ProjectWorld expenses, etc</t>
    <phoneticPr fontId="6" type="noConversion"/>
  </si>
  <si>
    <t>mileage expense fund</t>
    <phoneticPr fontId="6" type="noConversion"/>
  </si>
  <si>
    <t>Actual</t>
    <phoneticPr fontId="6" type="noConversion"/>
  </si>
  <si>
    <t>AGM, webinars</t>
    <phoneticPr fontId="6" type="noConversion"/>
  </si>
  <si>
    <t>Website</t>
    <phoneticPr fontId="6" type="noConversion"/>
  </si>
  <si>
    <t>NOTE:  $30 cheque of 31Dec2011 to Receiver General of Canada was cashed 012Jan2012</t>
    <phoneticPr fontId="6" type="noConversion"/>
  </si>
  <si>
    <t>Elzbieta Klimczyk</t>
    <phoneticPr fontId="6" type="noConversion"/>
  </si>
  <si>
    <t>Mary Margaret Walton</t>
    <phoneticPr fontId="6" type="noConversion"/>
  </si>
  <si>
    <t>Membership</t>
    <phoneticPr fontId="6" type="noConversion"/>
  </si>
  <si>
    <t>Yangxu Liu</t>
    <phoneticPr fontId="6" type="noConversion"/>
  </si>
  <si>
    <t>3A, 3B, 5C, 20D</t>
    <phoneticPr fontId="6" type="noConversion"/>
  </si>
  <si>
    <t>CAD</t>
    <phoneticPr fontId="6" type="noConversion"/>
  </si>
  <si>
    <t>Keith</t>
  </si>
  <si>
    <t>Who From</t>
  </si>
  <si>
    <t>Year's starting balance</t>
  </si>
  <si>
    <t>Events</t>
  </si>
  <si>
    <t>3 domains, per year</t>
  </si>
  <si>
    <t>Project Management Association of Canada /
 Association de Management de Projet du Canada</t>
  </si>
  <si>
    <t>Journal</t>
  </si>
  <si>
    <t>Assets</t>
    <phoneticPr fontId="6" type="noConversion"/>
  </si>
  <si>
    <t>Tot Inc</t>
    <phoneticPr fontId="6" type="noConversion"/>
  </si>
  <si>
    <t>Tot Exp</t>
    <phoneticPr fontId="6" type="noConversion"/>
  </si>
  <si>
    <t>Membership (net)</t>
    <phoneticPr fontId="6" type="noConversion"/>
  </si>
  <si>
    <t>Cert-PMAC (net)</t>
    <phoneticPr fontId="6" type="noConversion"/>
  </si>
  <si>
    <t>BMO</t>
    <phoneticPr fontId="6" type="noConversion"/>
  </si>
  <si>
    <t>interest</t>
    <phoneticPr fontId="6" type="noConversion"/>
  </si>
  <si>
    <t>Bank</t>
    <phoneticPr fontId="6" type="noConversion"/>
  </si>
  <si>
    <t>Interest</t>
    <phoneticPr fontId="6" type="noConversion"/>
  </si>
  <si>
    <t>Alex Jalalian</t>
    <phoneticPr fontId="6" type="noConversion"/>
  </si>
  <si>
    <t>Travel</t>
    <phoneticPr fontId="6" type="noConversion"/>
  </si>
  <si>
    <t>IPMA Fees</t>
  </si>
  <si>
    <t>domain registration</t>
  </si>
  <si>
    <t>Incorporation</t>
  </si>
  <si>
    <t>address; document design</t>
  </si>
  <si>
    <t>supplier, other</t>
  </si>
  <si>
    <t>?</t>
  </si>
  <si>
    <t>per year</t>
  </si>
  <si>
    <t>Remailing (PO box, postage, envelopes, labour)</t>
  </si>
  <si>
    <t>supplies</t>
  </si>
  <si>
    <t>Fax services</t>
  </si>
  <si>
    <t xml:space="preserve">Kevin </t>
  </si>
  <si>
    <t>has chosen not to register for, nor collect, GST/HST.</t>
  </si>
  <si>
    <t>PMAC does not charge GST/HST because it is a small supplier according to the Canada Revenue Agency and</t>
    <phoneticPr fontId="6" type="noConversion"/>
  </si>
  <si>
    <t>Net Income</t>
  </si>
  <si>
    <t>Cash Flow</t>
  </si>
  <si>
    <t>Website</t>
    <phoneticPr fontId="6" type="noConversion"/>
  </si>
  <si>
    <t>Travel</t>
    <phoneticPr fontId="6" type="noConversion"/>
  </si>
  <si>
    <t>Assessor fees, IPMA certificate fees, travel, etc.</t>
  </si>
  <si>
    <t>Assessor fees</t>
  </si>
  <si>
    <t>Retained Earnings</t>
  </si>
  <si>
    <t>Total Liabilities</t>
  </si>
  <si>
    <t>Accreditations</t>
  </si>
  <si>
    <t>new courses</t>
  </si>
  <si>
    <t>4LC</t>
  </si>
  <si>
    <t>Agile &amp; EPC</t>
  </si>
  <si>
    <t>Grant</t>
  </si>
  <si>
    <t>PayPal mostly</t>
  </si>
  <si>
    <t>NOTE:  $120 cheque of 22Dec2011 to MMPubs was cashed 27Jan2012</t>
    <phoneticPr fontId="6" type="noConversion"/>
  </si>
  <si>
    <t>JobWings.ca</t>
    <phoneticPr fontId="6" type="noConversion"/>
  </si>
  <si>
    <t>for job postings</t>
    <phoneticPr fontId="6" type="noConversion"/>
  </si>
  <si>
    <t>IPMA</t>
    <phoneticPr fontId="6" type="noConversion"/>
  </si>
  <si>
    <t>IPMA Cert fee (262 EUR; Inv 12-0074)</t>
    <phoneticPr fontId="6" type="noConversion"/>
  </si>
  <si>
    <t>IPMA MA annual fee (3320 EUR; Inv 12-0018)</t>
    <phoneticPr fontId="6" type="noConversion"/>
  </si>
  <si>
    <t>BMO</t>
    <phoneticPr fontId="6" type="noConversion"/>
  </si>
  <si>
    <t>Wire transfer fees</t>
    <phoneticPr fontId="6" type="noConversion"/>
  </si>
  <si>
    <t>Beverly Pasian</t>
    <phoneticPr fontId="6" type="noConversion"/>
  </si>
  <si>
    <t>expenses reimbursement</t>
    <phoneticPr fontId="6" type="noConversion"/>
  </si>
  <si>
    <t>Bank</t>
    <phoneticPr fontId="6" type="noConversion"/>
  </si>
  <si>
    <t>Incorporation</t>
    <phoneticPr fontId="6" type="noConversion"/>
  </si>
  <si>
    <t>Website</t>
  </si>
  <si>
    <t>PayPal</t>
  </si>
  <si>
    <t>Membership</t>
  </si>
  <si>
    <t>conference calls</t>
  </si>
  <si>
    <t>Banque Nationale</t>
    <phoneticPr fontId="6" type="noConversion"/>
  </si>
  <si>
    <t>service fee</t>
    <phoneticPr fontId="6" type="noConversion"/>
  </si>
  <si>
    <t>Bank</t>
    <phoneticPr fontId="6" type="noConversion"/>
  </si>
  <si>
    <t>Bank Charges</t>
    <phoneticPr fontId="6" type="noConversion"/>
  </si>
  <si>
    <t>PayPal Transaction fee</t>
    <phoneticPr fontId="6" type="noConversion"/>
  </si>
  <si>
    <t>PayPal Transaction fee refund</t>
    <phoneticPr fontId="6" type="noConversion"/>
  </si>
  <si>
    <t>Bank Charges</t>
    <phoneticPr fontId="6" type="noConversion"/>
  </si>
  <si>
    <t>Joji Lue</t>
    <phoneticPr fontId="6" type="noConversion"/>
  </si>
  <si>
    <t>Membership - student</t>
    <phoneticPr fontId="6" type="noConversion"/>
  </si>
  <si>
    <t>Membership</t>
    <phoneticPr fontId="6" type="noConversion"/>
  </si>
  <si>
    <t>Bank Charges</t>
    <phoneticPr fontId="6" type="noConversion"/>
  </si>
  <si>
    <t>Cert.APM certificate/letter production, printing, mailing</t>
  </si>
  <si>
    <t>Balance Sheet</t>
  </si>
  <si>
    <t>Awards</t>
  </si>
  <si>
    <t>from Wiley &amp; MMPubs</t>
    <phoneticPr fontId="6" type="noConversion"/>
  </si>
  <si>
    <t>Certifications – PMAC</t>
  </si>
  <si>
    <t>book, project</t>
    <phoneticPr fontId="6" type="noConversion"/>
  </si>
  <si>
    <t>AGM, ProjectWorld, webinars</t>
    <phoneticPr fontId="6" type="noConversion"/>
  </si>
  <si>
    <t>Liabilities</t>
  </si>
  <si>
    <t>Interest</t>
  </si>
  <si>
    <t>incorporation</t>
  </si>
  <si>
    <t>Corporations Canada</t>
  </si>
  <si>
    <t>IPMA MA fee</t>
  </si>
  <si>
    <t>Total Assets</t>
  </si>
  <si>
    <t>Webmaster</t>
  </si>
  <si>
    <t>Assets</t>
  </si>
  <si>
    <t>Kevin</t>
  </si>
  <si>
    <t>Income Statement</t>
  </si>
  <si>
    <t>IPMA Certification base fee</t>
    <phoneticPr fontId="6" type="noConversion"/>
  </si>
  <si>
    <t>IPMA Certification - #A</t>
    <phoneticPr fontId="6" type="noConversion"/>
  </si>
  <si>
    <t>Expenses</t>
  </si>
  <si>
    <t>Elvis Celic</t>
    <phoneticPr fontId="6" type="noConversion"/>
  </si>
  <si>
    <t>Treasurer</t>
  </si>
  <si>
    <t>Donations</t>
  </si>
  <si>
    <t>Donations in kind</t>
  </si>
  <si>
    <t>Admin</t>
  </si>
  <si>
    <t>Insurance</t>
  </si>
  <si>
    <t>Membership Package labour (8 mins/pkg fillout/print/mail @100/hr)</t>
  </si>
  <si>
    <t>membership discounts (complete guess)</t>
  </si>
  <si>
    <t>as of December 31, 2012</t>
    <phoneticPr fontId="6" type="noConversion"/>
  </si>
  <si>
    <t>Draft - January 5, 2012</t>
    <phoneticPr fontId="6" type="noConversion"/>
  </si>
  <si>
    <t>January 1, 2012 - December 31, 2012</t>
    <phoneticPr fontId="6" type="noConversion"/>
  </si>
  <si>
    <t>primary revenue sources are PMAC certifications and memberships, with 4LC certifications starting to make an impact this year</t>
    <phoneticPr fontId="6" type="noConversion"/>
  </si>
  <si>
    <t>Primary expenses are IPMA fees, assessor fees, and events (including travel)</t>
    <phoneticPr fontId="6" type="noConversion"/>
  </si>
  <si>
    <t>Cert-4LC (net)</t>
    <phoneticPr fontId="6" type="noConversion"/>
  </si>
  <si>
    <t>IPMA fee</t>
    <phoneticPr fontId="6" type="noConversion"/>
  </si>
  <si>
    <t>Advert (net)</t>
    <phoneticPr fontId="6" type="noConversion"/>
  </si>
  <si>
    <t>Net Income</t>
    <phoneticPr fontId="6" type="noConversion"/>
  </si>
  <si>
    <t>Other Inc (net)</t>
    <phoneticPr fontId="6" type="noConversion"/>
  </si>
  <si>
    <t xml:space="preserve"> - events are supposed to raise profile and generate memberships – and must be evaluated on that basis</t>
    <phoneticPr fontId="6" type="noConversion"/>
  </si>
  <si>
    <t xml:space="preserve"> - We should reimburse more of Kevin's expenses, especially since he is the singe greatest income generator</t>
    <phoneticPr fontId="6" type="noConversion"/>
  </si>
  <si>
    <t>Job board</t>
    <phoneticPr fontId="6" type="noConversion"/>
  </si>
  <si>
    <t>IPMA Certification - 1st assessors?</t>
    <phoneticPr fontId="6" type="noConversion"/>
  </si>
  <si>
    <t>Euro</t>
    <phoneticPr fontId="6" type="noConversion"/>
  </si>
  <si>
    <t>Certification</t>
  </si>
  <si>
    <t>12 new plus 30 renewing members</t>
    <phoneticPr fontId="6" type="noConversion"/>
  </si>
  <si>
    <t>Advertising</t>
    <phoneticPr fontId="6" type="noConversion"/>
  </si>
  <si>
    <t>January 1, 2012 – December 31, 2012</t>
    <phoneticPr fontId="6" type="noConversion"/>
  </si>
  <si>
    <t>1A, 1B, 3C, 15D</t>
    <phoneticPr fontId="6" type="noConversion"/>
  </si>
  <si>
    <t>NOTE:  $1639.24 cheque of 22Dec2011 to Procept was cashed 05Jan2012</t>
    <phoneticPr fontId="6" type="noConversion"/>
  </si>
  <si>
    <t>BMO</t>
    <phoneticPr fontId="6" type="noConversion"/>
  </si>
  <si>
    <t>interest</t>
    <phoneticPr fontId="6" type="noConversion"/>
  </si>
  <si>
    <t>Bank</t>
    <phoneticPr fontId="6" type="noConversion"/>
  </si>
  <si>
    <t>Interest</t>
    <phoneticPr fontId="6" type="noConversion"/>
  </si>
  <si>
    <t>Zeljko Marcan</t>
    <phoneticPr fontId="6" type="noConversion"/>
  </si>
  <si>
    <t>Membership</t>
    <phoneticPr fontId="6" type="noConversion"/>
  </si>
  <si>
    <t>PayPal</t>
    <phoneticPr fontId="6" type="noConversion"/>
  </si>
  <si>
    <t>Membership</t>
    <phoneticPr fontId="6" type="noConversion"/>
  </si>
  <si>
    <t>Ndene Ndiaye</t>
    <phoneticPr fontId="6" type="noConversion"/>
  </si>
  <si>
    <t>Muhammed Siddiqui</t>
    <phoneticPr fontId="6" type="noConversion"/>
  </si>
  <si>
    <t>Steven Wickens</t>
    <phoneticPr fontId="6" type="noConversion"/>
  </si>
  <si>
    <t>Agile exam fee</t>
    <phoneticPr fontId="6" type="noConversion"/>
  </si>
  <si>
    <t>Events</t>
    <phoneticPr fontId="6" type="noConversion"/>
  </si>
  <si>
    <t>Vishal Gupta</t>
    <phoneticPr fontId="6" type="noConversion"/>
  </si>
  <si>
    <t>Membership</t>
    <phoneticPr fontId="6" type="noConversion"/>
  </si>
  <si>
    <t>PayPal</t>
    <phoneticPr fontId="6" type="noConversion"/>
  </si>
  <si>
    <t>Grant Kerr</t>
    <phoneticPr fontId="6" type="noConversion"/>
  </si>
  <si>
    <t>AGM registration refund</t>
    <phoneticPr fontId="6" type="noConversion"/>
  </si>
  <si>
    <t>Events</t>
    <phoneticPr fontId="6" type="noConversion"/>
  </si>
  <si>
    <t>IPMA Certification - #B</t>
    <phoneticPr fontId="6" type="noConversion"/>
  </si>
  <si>
    <t>Reserve ~$8,000 for IPMA</t>
    <phoneticPr fontId="6" type="noConversion"/>
  </si>
  <si>
    <t>paper, forms, etc.</t>
  </si>
  <si>
    <t>Other</t>
  </si>
  <si>
    <t xml:space="preserve"> - IPMA and assessor fees assume members and certifications, so that's okay</t>
    <phoneticPr fontId="6" type="noConversion"/>
  </si>
  <si>
    <t>Membership renewal</t>
    <phoneticPr fontId="6" type="noConversion"/>
  </si>
  <si>
    <t>Membership</t>
    <phoneticPr fontId="6" type="noConversion"/>
  </si>
  <si>
    <t>PayPal</t>
    <phoneticPr fontId="6" type="noConversion"/>
  </si>
  <si>
    <t>PayPal Transaction fee</t>
    <phoneticPr fontId="6" type="noConversion"/>
  </si>
  <si>
    <t>Bank Charges</t>
    <phoneticPr fontId="6" type="noConversion"/>
  </si>
  <si>
    <t>Sylvie Edwards</t>
    <phoneticPr fontId="6" type="noConversion"/>
  </si>
  <si>
    <t>AGM registration</t>
    <phoneticPr fontId="6" type="noConversion"/>
  </si>
  <si>
    <t>Mary Margaret Walton</t>
    <phoneticPr fontId="6" type="noConversion"/>
  </si>
  <si>
    <t>Jeff Hodgkinson</t>
    <phoneticPr fontId="6" type="noConversion"/>
  </si>
  <si>
    <t>Certifications – 4LC</t>
  </si>
  <si>
    <t>Awards</t>
    <phoneticPr fontId="6" type="noConversion"/>
  </si>
  <si>
    <t>interest</t>
    <phoneticPr fontId="6" type="noConversion"/>
  </si>
  <si>
    <t>Note: the following cheques have been written and entered in the Journal, but were not cashed before year-end, so the funds were still in the account as of 31Dec2011.</t>
    <phoneticPr fontId="6" type="noConversion"/>
  </si>
  <si>
    <t xml:space="preserve">For 2012: </t>
    <phoneticPr fontId="6" type="noConversion"/>
  </si>
  <si>
    <t>IPMA membership fee (300 members)</t>
    <phoneticPr fontId="6" type="noConversion"/>
  </si>
  <si>
    <t>IPMA Certification - #C</t>
    <phoneticPr fontId="6" type="noConversion"/>
  </si>
  <si>
    <t xml:space="preserve">bank fees; </t>
  </si>
  <si>
    <t>There are still a lot (~$10-20,000) of in-kind expenses/ donations</t>
    <phoneticPr fontId="6" type="noConversion"/>
  </si>
  <si>
    <t>IPMA fees</t>
  </si>
  <si>
    <t>Annual return fee; courier fees</t>
  </si>
  <si>
    <t>Bank Charges</t>
  </si>
  <si>
    <t>Membership renewal</t>
    <phoneticPr fontId="6" type="noConversion"/>
  </si>
  <si>
    <t>PayPal</t>
    <phoneticPr fontId="6" type="noConversion"/>
  </si>
  <si>
    <t>Morvarid Khorramirad</t>
    <phoneticPr fontId="6" type="noConversion"/>
  </si>
  <si>
    <t>PayPal Transaction fee</t>
    <phoneticPr fontId="6" type="noConversion"/>
  </si>
  <si>
    <t>EPC course fee refund</t>
    <phoneticPr fontId="6" type="noConversion"/>
  </si>
  <si>
    <t>Membership Package printing/mailing (incl. env+postage), 200x$4.30</t>
  </si>
  <si>
    <t>Legal &amp; Professional Fees</t>
  </si>
  <si>
    <t>Meetings</t>
  </si>
  <si>
    <t>Supplies</t>
  </si>
  <si>
    <t>Telephone</t>
  </si>
  <si>
    <t>Travel</t>
  </si>
  <si>
    <t>Unknown</t>
  </si>
  <si>
    <t>Airsoft Milsim</t>
    <phoneticPr fontId="6" type="noConversion"/>
  </si>
  <si>
    <t>Sei Eun Sarah Chun</t>
    <phoneticPr fontId="6" type="noConversion"/>
  </si>
  <si>
    <t>Date</t>
  </si>
  <si>
    <t>In</t>
  </si>
  <si>
    <t>Out</t>
  </si>
  <si>
    <t>Balance</t>
  </si>
  <si>
    <t>Who</t>
  </si>
  <si>
    <t>Why</t>
  </si>
  <si>
    <t>Account</t>
  </si>
  <si>
    <t>membership</t>
  </si>
  <si>
    <t>Cert.APM brochure/exam production, printing</t>
  </si>
  <si>
    <t>Kevin? Keith?</t>
  </si>
  <si>
    <t>PMAC Off-book expenses</t>
  </si>
  <si>
    <t>Who To</t>
  </si>
  <si>
    <t>Category</t>
  </si>
  <si>
    <t>web hosting</t>
  </si>
  <si>
    <t>Budget 2012</t>
    <phoneticPr fontId="6" type="noConversion"/>
  </si>
  <si>
    <t xml:space="preserve"> - requires Kevin and Keith and Berteig and Proportion to offer classes and submit members</t>
    <phoneticPr fontId="6" type="noConversion"/>
  </si>
  <si>
    <t>Revenue</t>
  </si>
  <si>
    <t>Publications</t>
  </si>
  <si>
    <t>webmaster</t>
  </si>
  <si>
    <t>unlimited use, per year</t>
  </si>
  <si>
    <t>Xerox docucards for membership</t>
  </si>
  <si>
    <t>Opening Balance</t>
  </si>
  <si>
    <t>Bank</t>
  </si>
  <si>
    <t>Responsibility</t>
  </si>
  <si>
    <t>Advertising</t>
  </si>
  <si>
    <t>Net Change in cash position</t>
  </si>
  <si>
    <t>Closing Balance</t>
  </si>
  <si>
    <t>Bank account</t>
  </si>
  <si>
    <t>Paypal account</t>
  </si>
  <si>
    <t>Celia Feng</t>
    <phoneticPr fontId="6" type="noConversion"/>
  </si>
  <si>
    <t>PayPal</t>
    <phoneticPr fontId="6" type="noConversion"/>
  </si>
  <si>
    <t>PayPal Transaction fee</t>
    <phoneticPr fontId="6" type="noConversion"/>
  </si>
  <si>
    <t>PayPal</t>
    <phoneticPr fontId="6" type="noConversion"/>
  </si>
  <si>
    <t>Bank Charges</t>
    <phoneticPr fontId="6" type="noConversion"/>
  </si>
  <si>
    <t>Agile exam fee</t>
    <phoneticPr fontId="6" type="noConversion"/>
  </si>
  <si>
    <t>Certifications – PMAC</t>
    <phoneticPr fontId="6" type="noConversion"/>
  </si>
  <si>
    <t>Bidisha Ghosh</t>
    <phoneticPr fontId="6" type="noConversion"/>
  </si>
  <si>
    <t>Membership</t>
    <phoneticPr fontId="6" type="noConversion"/>
  </si>
  <si>
    <t>Membership</t>
    <phoneticPr fontId="6" type="noConversion"/>
  </si>
  <si>
    <t>Murlidhar Rao Marrivada</t>
  </si>
  <si>
    <t>PayPal</t>
    <phoneticPr fontId="6" type="noConversion"/>
  </si>
  <si>
    <t>PayPal Transaction fee</t>
    <phoneticPr fontId="6" type="noConversion"/>
  </si>
  <si>
    <t>John Sabourin</t>
    <phoneticPr fontId="6" type="noConversion"/>
  </si>
  <si>
    <t>Membership</t>
    <phoneticPr fontId="6" type="noConversion"/>
  </si>
  <si>
    <t>Bank Charges</t>
    <phoneticPr fontId="6" type="noConversion"/>
  </si>
  <si>
    <t>Ahmed Hassan</t>
    <phoneticPr fontId="6" type="noConversion"/>
  </si>
  <si>
    <t>Ahmed Hassan</t>
    <phoneticPr fontId="6" type="noConversion"/>
  </si>
  <si>
    <t>Refund of overpayment $50)</t>
    <phoneticPr fontId="6" type="noConversion"/>
  </si>
  <si>
    <t>PayPal</t>
    <phoneticPr fontId="6" type="noConversion"/>
  </si>
  <si>
    <t>PayPal Transaction fee refund</t>
    <phoneticPr fontId="6" type="noConversion"/>
  </si>
  <si>
    <t>Banque Nationale</t>
    <phoneticPr fontId="6" type="noConversion"/>
  </si>
  <si>
    <t>service fee</t>
    <phoneticPr fontId="6" type="noConversion"/>
  </si>
  <si>
    <t>Bank</t>
    <phoneticPr fontId="6" type="noConversion"/>
  </si>
  <si>
    <t>Bank Charges</t>
    <phoneticPr fontId="6" type="noConversion"/>
  </si>
  <si>
    <t>Kevin deposit????</t>
    <phoneticPr fontId="6" type="noConversion"/>
  </si>
  <si>
    <t>Bank</t>
    <phoneticPr fontId="6" type="noConversion"/>
  </si>
  <si>
    <t>Bev cheque</t>
    <phoneticPr fontId="6" type="noConversion"/>
  </si>
  <si>
    <t>Assumptions and comments for 2012 Budget</t>
    <phoneticPr fontId="6" type="noConversion"/>
  </si>
  <si>
    <t>January 1, 2012 - December 31, 2012</t>
    <phoneticPr fontId="6" type="noConversion"/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</si>
</sst>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.00_);_(* \(#,##0.00\);_(* &quot;-&quot;??_);_(@_)"/>
    <numFmt numFmtId="165" formatCode="_-\$* #,##0.00_-;&quot;-$&quot;* #,##0.00_-;_-\$* \-??_-;_-@_-"/>
    <numFmt numFmtId="166" formatCode="_-\$* #,##0_-;&quot;-$&quot;* #,##0_-;_-\$* \-??_-;_-@_-"/>
    <numFmt numFmtId="167" formatCode="dd\-mmm"/>
  </numFmts>
  <fonts count="12">
    <font>
      <sz val="10"/>
      <name val="Hiragino Kaku Gothic ProN W3"/>
      <family val="2"/>
    </font>
    <font>
      <sz val="10"/>
      <name val="Arial"/>
      <family val="2"/>
    </font>
    <font>
      <sz val="10"/>
      <color indexed="8"/>
      <name val="Calibri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Verdana"/>
    </font>
    <font>
      <sz val="10"/>
      <name val="Calibri"/>
    </font>
    <font>
      <sz val="10"/>
      <name val="Hiragino Kaku Gothic ProN W3"/>
      <family val="2"/>
    </font>
    <font>
      <sz val="10"/>
      <color indexed="8"/>
      <name val="Calibri"/>
    </font>
    <font>
      <sz val="12"/>
      <name val="Arial"/>
    </font>
    <font>
      <sz val="12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ill="0" applyBorder="0" applyAlignment="0" applyProtection="0"/>
    <xf numFmtId="165" fontId="2" fillId="0" borderId="0"/>
    <xf numFmtId="0" fontId="2" fillId="0" borderId="0"/>
  </cellStyleXfs>
  <cellXfs count="55">
    <xf numFmtId="0" fontId="0" fillId="0" borderId="0" xfId="0"/>
    <xf numFmtId="0" fontId="2" fillId="0" borderId="0" xfId="3"/>
    <xf numFmtId="2" fontId="2" fillId="0" borderId="0" xfId="3" applyNumberFormat="1"/>
    <xf numFmtId="0" fontId="5" fillId="2" borderId="1" xfId="3" applyFont="1" applyFill="1" applyBorder="1" applyAlignment="1">
      <alignment horizontal="center"/>
    </xf>
    <xf numFmtId="2" fontId="5" fillId="2" borderId="1" xfId="3" applyNumberFormat="1" applyFont="1" applyFill="1" applyBorder="1" applyAlignment="1">
      <alignment horizontal="center"/>
    </xf>
    <xf numFmtId="16" fontId="2" fillId="0" borderId="0" xfId="3" applyNumberFormat="1"/>
    <xf numFmtId="0" fontId="2" fillId="0" borderId="0" xfId="3" applyFont="1"/>
    <xf numFmtId="0" fontId="2" fillId="0" borderId="0" xfId="3" applyFont="1" applyFill="1"/>
    <xf numFmtId="0" fontId="2" fillId="2" borderId="1" xfId="3" applyFill="1" applyBorder="1"/>
    <xf numFmtId="2" fontId="5" fillId="2" borderId="1" xfId="3" applyNumberFormat="1" applyFont="1" applyFill="1" applyBorder="1" applyAlignment="1">
      <alignment horizontal="right"/>
    </xf>
    <xf numFmtId="2" fontId="2" fillId="2" borderId="1" xfId="3" applyNumberFormat="1" applyFill="1" applyBorder="1"/>
    <xf numFmtId="0" fontId="5" fillId="0" borderId="0" xfId="3" applyFont="1"/>
    <xf numFmtId="0" fontId="2" fillId="0" borderId="0" xfId="3" applyFont="1" applyFill="1" applyBorder="1"/>
    <xf numFmtId="0" fontId="0" fillId="0" borderId="0" xfId="0" applyAlignment="1">
      <alignment horizontal="left"/>
    </xf>
    <xf numFmtId="0" fontId="2" fillId="0" borderId="0" xfId="3" applyAlignment="1">
      <alignment horizontal="left"/>
    </xf>
    <xf numFmtId="0" fontId="4" fillId="2" borderId="0" xfId="3" applyFont="1" applyFill="1"/>
    <xf numFmtId="0" fontId="2" fillId="2" borderId="0" xfId="3" applyFill="1"/>
    <xf numFmtId="0" fontId="3" fillId="0" borderId="0" xfId="0" applyFont="1"/>
    <xf numFmtId="0" fontId="3" fillId="0" borderId="0" xfId="3" applyFont="1"/>
    <xf numFmtId="3" fontId="2" fillId="0" borderId="0" xfId="3" applyNumberFormat="1"/>
    <xf numFmtId="3" fontId="2" fillId="0" borderId="2" xfId="3" applyNumberFormat="1" applyBorder="1"/>
    <xf numFmtId="3" fontId="2" fillId="0" borderId="3" xfId="3" applyNumberFormat="1" applyBorder="1"/>
    <xf numFmtId="0" fontId="5" fillId="2" borderId="4" xfId="3" applyFont="1" applyFill="1" applyBorder="1" applyAlignment="1">
      <alignment horizontal="center"/>
    </xf>
    <xf numFmtId="0" fontId="5" fillId="2" borderId="5" xfId="3" applyFont="1" applyFill="1" applyBorder="1" applyAlignment="1">
      <alignment horizontal="center"/>
    </xf>
    <xf numFmtId="2" fontId="2" fillId="0" borderId="0" xfId="3" applyNumberFormat="1" applyFont="1" applyAlignment="1">
      <alignment horizontal="right"/>
    </xf>
    <xf numFmtId="0" fontId="0" fillId="0" borderId="0" xfId="0" applyAlignment="1">
      <alignment horizontal="center"/>
    </xf>
    <xf numFmtId="166" fontId="5" fillId="0" borderId="6" xfId="2" applyNumberFormat="1" applyFont="1" applyBorder="1"/>
    <xf numFmtId="0" fontId="2" fillId="2" borderId="0" xfId="3" applyFont="1" applyFill="1"/>
    <xf numFmtId="0" fontId="2" fillId="0" borderId="0" xfId="0" applyFont="1"/>
    <xf numFmtId="0" fontId="7" fillId="0" borderId="0" xfId="0" applyFont="1"/>
    <xf numFmtId="16" fontId="2" fillId="0" borderId="0" xfId="3" applyNumberFormat="1" applyFont="1"/>
    <xf numFmtId="0" fontId="9" fillId="0" borderId="0" xfId="3" applyFont="1"/>
    <xf numFmtId="0" fontId="9" fillId="0" borderId="0" xfId="3" applyFont="1" applyFill="1"/>
    <xf numFmtId="0" fontId="2" fillId="0" borderId="0" xfId="0" applyFont="1" applyFill="1"/>
    <xf numFmtId="164" fontId="7" fillId="0" borderId="3" xfId="1" applyFont="1" applyBorder="1"/>
    <xf numFmtId="164" fontId="7" fillId="0" borderId="0" xfId="1" applyFont="1"/>
    <xf numFmtId="164" fontId="7" fillId="2" borderId="1" xfId="1" applyFont="1" applyFill="1" applyBorder="1" applyAlignment="1">
      <alignment horizontal="right"/>
    </xf>
    <xf numFmtId="164" fontId="7" fillId="0" borderId="2" xfId="1" applyFont="1" applyBorder="1"/>
    <xf numFmtId="4" fontId="2" fillId="0" borderId="0" xfId="3" applyNumberFormat="1"/>
    <xf numFmtId="0" fontId="8" fillId="3" borderId="0" xfId="0" applyFont="1" applyFill="1"/>
    <xf numFmtId="4" fontId="2" fillId="0" borderId="0" xfId="3" applyNumberFormat="1" applyFill="1"/>
    <xf numFmtId="4" fontId="2" fillId="0" borderId="0" xfId="0" applyNumberFormat="1" applyFont="1"/>
    <xf numFmtId="4" fontId="7" fillId="0" borderId="3" xfId="1" applyNumberFormat="1" applyFont="1" applyBorder="1"/>
    <xf numFmtId="4" fontId="2" fillId="0" borderId="0" xfId="3" applyNumberFormat="1" applyFont="1"/>
    <xf numFmtId="0" fontId="10" fillId="0" borderId="0" xfId="0" applyFont="1"/>
    <xf numFmtId="2" fontId="11" fillId="0" borderId="10" xfId="0" applyNumberFormat="1" applyFont="1" applyBorder="1"/>
    <xf numFmtId="0" fontId="2" fillId="4" borderId="0" xfId="3" applyFont="1" applyFill="1"/>
    <xf numFmtId="0" fontId="10" fillId="4" borderId="0" xfId="0" applyFont="1" applyFill="1"/>
    <xf numFmtId="0" fontId="3" fillId="2" borderId="0" xfId="3" applyFont="1" applyFill="1" applyBorder="1" applyAlignment="1">
      <alignment horizontal="left" wrapText="1"/>
    </xf>
    <xf numFmtId="0" fontId="3" fillId="2" borderId="0" xfId="3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5" fillId="2" borderId="1" xfId="3" applyFont="1" applyFill="1" applyBorder="1" applyAlignment="1">
      <alignment horizontal="center"/>
    </xf>
    <xf numFmtId="0" fontId="3" fillId="2" borderId="9" xfId="3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Excel Built-in Normal" xfId="3"/>
    <cellStyle name="Normal" xfId="0" builtinId="0"/>
  </cellStyles>
  <dxfs count="17">
    <dxf>
      <fill>
        <patternFill patternType="solid">
          <fgColor indexed="22"/>
          <bgColor indexed="44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22"/>
          <bgColor indexed="44"/>
        </patternFill>
      </fill>
    </dxf>
    <dxf>
      <fill>
        <patternFill patternType="solid">
          <fgColor indexed="22"/>
          <bgColor indexed="44"/>
        </patternFill>
      </fill>
    </dxf>
    <dxf>
      <fill>
        <patternFill patternType="solid">
          <fgColor indexed="22"/>
          <bgColor indexed="44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 patternType="solid">
          <fgColor indexed="22"/>
          <bgColor indexed="44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22"/>
          <bgColor indexed="44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22"/>
          <bgColor indexed="44"/>
        </patternFill>
      </fill>
    </dxf>
    <dxf>
      <fill>
        <patternFill patternType="solid">
          <fgColor indexed="45"/>
          <bgColor indexed="29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7F7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7FD7A7"/>
      <rgbColor rgb="00FF996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 lang="en-CA"/>
            </a:pPr>
            <a:r>
              <a:rPr lang="en-CA" sz="1800" b="1">
                <a:latin typeface="+mn-lt"/>
              </a:rPr>
              <a:t>Total Income &amp; Expenses</a:t>
            </a:r>
          </a:p>
        </c:rich>
      </c:tx>
    </c:title>
    <c:plotArea>
      <c:layout/>
      <c:barChart>
        <c:barDir val="col"/>
        <c:grouping val="stacked"/>
        <c:ser>
          <c:idx val="2"/>
          <c:order val="0"/>
          <c:tx>
            <c:v>Tot Inc</c:v>
          </c:tx>
          <c:spPr>
            <a:ln>
              <a:noFill/>
            </a:ln>
            <a:effectLst/>
          </c:spPr>
          <c:cat>
            <c:numRef>
              <c:f>Historical!$A$2:$A$6</c:f>
              <c:numCache>
                <c:formatCode>General</c:formatCode>
                <c:ptCount val="5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</c:numCache>
            </c:numRef>
          </c:cat>
          <c:val>
            <c:numRef>
              <c:f>Historical!$C$2:$C$6</c:f>
              <c:numCache>
                <c:formatCode>General</c:formatCode>
                <c:ptCount val="5"/>
                <c:pt idx="0">
                  <c:v>1124.62</c:v>
                </c:pt>
                <c:pt idx="1">
                  <c:v>174.59</c:v>
                </c:pt>
                <c:pt idx="2">
                  <c:v>5442.02</c:v>
                </c:pt>
                <c:pt idx="3">
                  <c:v>17819.9</c:v>
                </c:pt>
                <c:pt idx="4">
                  <c:v>27839.43</c:v>
                </c:pt>
              </c:numCache>
            </c:numRef>
          </c:val>
        </c:ser>
        <c:ser>
          <c:idx val="3"/>
          <c:order val="1"/>
          <c:tx>
            <c:v>Tot Exp</c:v>
          </c:tx>
          <c:spPr>
            <a:ln>
              <a:noFill/>
            </a:ln>
            <a:effectLst/>
          </c:spPr>
          <c:cat>
            <c:numRef>
              <c:f>Historical!$A$2:$A$6</c:f>
              <c:numCache>
                <c:formatCode>General</c:formatCode>
                <c:ptCount val="5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</c:numCache>
            </c:numRef>
          </c:cat>
          <c:val>
            <c:numRef>
              <c:f>Historical!$D$2:$D$6</c:f>
              <c:numCache>
                <c:formatCode>General</c:formatCode>
                <c:ptCount val="5"/>
                <c:pt idx="0">
                  <c:v>-9.24</c:v>
                </c:pt>
                <c:pt idx="1">
                  <c:v>-87.45</c:v>
                </c:pt>
                <c:pt idx="2">
                  <c:v>-5416.22</c:v>
                </c:pt>
                <c:pt idx="3">
                  <c:v>-11386.49</c:v>
                </c:pt>
                <c:pt idx="4">
                  <c:v>-14749.05</c:v>
                </c:pt>
              </c:numCache>
            </c:numRef>
          </c:val>
        </c:ser>
        <c:overlap val="100"/>
        <c:axId val="455961048"/>
        <c:axId val="463575624"/>
      </c:barChart>
      <c:catAx>
        <c:axId val="4559610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en-CA"/>
            </a:pPr>
            <a:endParaRPr lang="en-US"/>
          </a:p>
        </c:txPr>
        <c:crossAx val="463575624"/>
        <c:crosses val="autoZero"/>
        <c:auto val="1"/>
        <c:lblAlgn val="ctr"/>
        <c:lblOffset val="100"/>
      </c:catAx>
      <c:valAx>
        <c:axId val="4635756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&quot;$&quot;#,##0" sourceLinked="0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455961048"/>
        <c:crosses val="autoZero"/>
        <c:crossBetween val="between"/>
      </c:valAx>
    </c:plotArea>
    <c:legend>
      <c:legendPos val="b"/>
      <c:txPr>
        <a:bodyPr/>
        <a:lstStyle/>
        <a:p>
          <a:pPr>
            <a:defRPr lang="en-CA"/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Pr>
        <a:bodyPr/>
        <a:lstStyle/>
        <a:p>
          <a:pPr>
            <a:defRPr lang="en-CA"/>
          </a:pPr>
          <a:endParaRPr lang="en-US"/>
        </a:p>
      </c:txPr>
    </c:title>
    <c:plotArea>
      <c:layout/>
      <c:barChart>
        <c:barDir val="col"/>
        <c:grouping val="stacked"/>
        <c:ser>
          <c:idx val="0"/>
          <c:order val="0"/>
          <c:tx>
            <c:strRef>
              <c:f>Historical!$B$1</c:f>
              <c:strCache>
                <c:ptCount val="1"/>
                <c:pt idx="0">
                  <c:v>Assets</c:v>
                </c:pt>
              </c:strCache>
            </c:strRef>
          </c:tx>
          <c:cat>
            <c:numRef>
              <c:f>Historical!$A$2:$A$6</c:f>
              <c:numCache>
                <c:formatCode>General</c:formatCode>
                <c:ptCount val="5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</c:numCache>
            </c:numRef>
          </c:cat>
          <c:val>
            <c:numRef>
              <c:f>Historical!$B$2:$B$6</c:f>
              <c:numCache>
                <c:formatCode>General</c:formatCode>
                <c:ptCount val="5"/>
                <c:pt idx="0" formatCode="0.00">
                  <c:v>1115.38</c:v>
                </c:pt>
                <c:pt idx="1">
                  <c:v>1202.52</c:v>
                </c:pt>
                <c:pt idx="2">
                  <c:v>1228.32</c:v>
                </c:pt>
                <c:pt idx="3">
                  <c:v>7661.73</c:v>
                </c:pt>
                <c:pt idx="4">
                  <c:v>20752.11</c:v>
                </c:pt>
              </c:numCache>
            </c:numRef>
          </c:val>
        </c:ser>
        <c:gapWidth val="75"/>
        <c:overlap val="100"/>
        <c:axId val="549301064"/>
        <c:axId val="538090936"/>
      </c:barChart>
      <c:catAx>
        <c:axId val="5493010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538090936"/>
        <c:crosses val="autoZero"/>
        <c:auto val="1"/>
        <c:lblAlgn val="ctr"/>
        <c:lblOffset val="100"/>
      </c:catAx>
      <c:valAx>
        <c:axId val="538090936"/>
        <c:scaling>
          <c:orientation val="minMax"/>
        </c:scaling>
        <c:axPos val="l"/>
        <c:majorGridlines/>
        <c:numFmt formatCode="&quot;$&quot;#,##0" sourceLinked="0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CA"/>
            </a:pPr>
            <a:endParaRPr lang="en-US"/>
          </a:p>
        </c:txPr>
        <c:crossAx val="549301064"/>
        <c:crosses val="autoZero"/>
        <c:crossBetween val="between"/>
      </c:valAx>
    </c:plotArea>
    <c:legend>
      <c:legendPos val="b"/>
      <c:txPr>
        <a:bodyPr/>
        <a:lstStyle/>
        <a:p>
          <a:pPr>
            <a:defRPr lang="en-CA"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lang="en-CA"/>
            </a:pPr>
            <a:r>
              <a:rPr lang="en-CA"/>
              <a:t>Net</a:t>
            </a:r>
            <a:r>
              <a:rPr lang="en-CA" baseline="0"/>
              <a:t> Income &amp; Expenses</a:t>
            </a:r>
            <a:endParaRPr lang="en-CA"/>
          </a:p>
        </c:rich>
      </c:tx>
    </c:title>
    <c:plotArea>
      <c:layout/>
      <c:barChart>
        <c:barDir val="col"/>
        <c:grouping val="stacked"/>
        <c:ser>
          <c:idx val="3"/>
          <c:order val="0"/>
          <c:tx>
            <c:strRef>
              <c:f>Historical!$I$1</c:f>
              <c:strCache>
                <c:ptCount val="1"/>
                <c:pt idx="0">
                  <c:v>IPMA fee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Historical!$A$2:$A$6</c:f>
              <c:numCache>
                <c:formatCode>General</c:formatCode>
                <c:ptCount val="5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</c:numCache>
            </c:numRef>
          </c:cat>
          <c:val>
            <c:numRef>
              <c:f>Historical!$I$2:$I$6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-2064.89</c:v>
                </c:pt>
                <c:pt idx="3">
                  <c:v>-2381.54</c:v>
                </c:pt>
                <c:pt idx="4">
                  <c:v>-3055.32</c:v>
                </c:pt>
              </c:numCache>
            </c:numRef>
          </c:val>
        </c:ser>
        <c:ser>
          <c:idx val="4"/>
          <c:order val="1"/>
          <c:tx>
            <c:strRef>
              <c:f>Historical!$J$1</c:f>
              <c:strCache>
                <c:ptCount val="1"/>
                <c:pt idx="0">
                  <c:v>Advert (net)</c:v>
                </c:pt>
              </c:strCache>
            </c:strRef>
          </c:tx>
          <c:spPr>
            <a:solidFill>
              <a:srgbClr val="FFC000"/>
            </a:solidFill>
          </c:spPr>
          <c:cat>
            <c:numRef>
              <c:f>Historical!$A$2:$A$6</c:f>
              <c:numCache>
                <c:formatCode>General</c:formatCode>
                <c:ptCount val="5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</c:numCache>
            </c:numRef>
          </c:cat>
          <c:val>
            <c:numRef>
              <c:f>Historical!$J$2:$J$6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-2362.9</c:v>
                </c:pt>
                <c:pt idx="4">
                  <c:v>-1639.24</c:v>
                </c:pt>
              </c:numCache>
            </c:numRef>
          </c:val>
        </c:ser>
        <c:ser>
          <c:idx val="0"/>
          <c:order val="2"/>
          <c:tx>
            <c:strRef>
              <c:f>Historical!$F$1</c:f>
              <c:strCache>
                <c:ptCount val="1"/>
                <c:pt idx="0">
                  <c:v>Membership (net)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Historical!$A$2:$A$6</c:f>
              <c:numCache>
                <c:formatCode>General</c:formatCode>
                <c:ptCount val="5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</c:numCache>
            </c:numRef>
          </c:cat>
          <c:val>
            <c:numRef>
              <c:f>Historical!$F$2:$F$6</c:f>
              <c:numCache>
                <c:formatCode>General</c:formatCode>
                <c:ptCount val="5"/>
                <c:pt idx="0">
                  <c:v>400.0</c:v>
                </c:pt>
                <c:pt idx="1">
                  <c:v>80.0</c:v>
                </c:pt>
                <c:pt idx="2">
                  <c:v>1284.0</c:v>
                </c:pt>
                <c:pt idx="3">
                  <c:v>4068.0</c:v>
                </c:pt>
                <c:pt idx="4">
                  <c:v>3565.0</c:v>
                </c:pt>
              </c:numCache>
            </c:numRef>
          </c:val>
        </c:ser>
        <c:ser>
          <c:idx val="1"/>
          <c:order val="3"/>
          <c:tx>
            <c:strRef>
              <c:f>Historical!$G$1</c:f>
              <c:strCache>
                <c:ptCount val="1"/>
                <c:pt idx="0">
                  <c:v>Cert-PMAC (net)</c:v>
                </c:pt>
              </c:strCache>
            </c:strRef>
          </c:tx>
          <c:spPr>
            <a:solidFill>
              <a:srgbClr val="00B050"/>
            </a:solidFill>
          </c:spPr>
          <c:cat>
            <c:numRef>
              <c:f>Historical!$A$2:$A$6</c:f>
              <c:numCache>
                <c:formatCode>General</c:formatCode>
                <c:ptCount val="5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</c:numCache>
            </c:numRef>
          </c:cat>
          <c:val>
            <c:numRef>
              <c:f>Historical!$G$2:$G$6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1200.0</c:v>
                </c:pt>
                <c:pt idx="3">
                  <c:v>6118.6</c:v>
                </c:pt>
                <c:pt idx="4">
                  <c:v>11990.0</c:v>
                </c:pt>
              </c:numCache>
            </c:numRef>
          </c:val>
        </c:ser>
        <c:ser>
          <c:idx val="2"/>
          <c:order val="4"/>
          <c:tx>
            <c:strRef>
              <c:f>Historical!$H$1</c:f>
              <c:strCache>
                <c:ptCount val="1"/>
                <c:pt idx="0">
                  <c:v>Cert-4LC (net)</c:v>
                </c:pt>
              </c:strCache>
            </c:strRef>
          </c:tx>
          <c:spPr>
            <a:solidFill>
              <a:srgbClr val="002060"/>
            </a:solidFill>
          </c:spPr>
          <c:cat>
            <c:numRef>
              <c:f>Historical!$A$2:$A$6</c:f>
              <c:numCache>
                <c:formatCode>General</c:formatCode>
                <c:ptCount val="5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</c:numCache>
            </c:numRef>
          </c:cat>
          <c:val>
            <c:numRef>
              <c:f>Historical!$H$2:$H$6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1283.34</c:v>
                </c:pt>
                <c:pt idx="4">
                  <c:v>478.59</c:v>
                </c:pt>
              </c:numCache>
            </c:numRef>
          </c:val>
        </c:ser>
        <c:ser>
          <c:idx val="5"/>
          <c:order val="5"/>
          <c:tx>
            <c:strRef>
              <c:f>Historical!$K$1</c:f>
              <c:strCache>
                <c:ptCount val="1"/>
                <c:pt idx="0">
                  <c:v>Other Inc (net)</c:v>
                </c:pt>
              </c:strCache>
            </c:strRef>
          </c:tx>
          <c:spPr>
            <a:solidFill>
              <a:srgbClr val="C00000"/>
            </a:solidFill>
          </c:spPr>
          <c:cat>
            <c:numRef>
              <c:f>Historical!$A$2:$A$6</c:f>
              <c:numCache>
                <c:formatCode>General</c:formatCode>
                <c:ptCount val="5"/>
                <c:pt idx="0">
                  <c:v>2007.0</c:v>
                </c:pt>
                <c:pt idx="1">
                  <c:v>2008.0</c:v>
                </c:pt>
                <c:pt idx="2">
                  <c:v>2009.0</c:v>
                </c:pt>
                <c:pt idx="3">
                  <c:v>2010.0</c:v>
                </c:pt>
                <c:pt idx="4">
                  <c:v>2011.0</c:v>
                </c:pt>
              </c:numCache>
            </c:numRef>
          </c:cat>
          <c:val>
            <c:numRef>
              <c:f>Historical!$K$2:$K$6</c:f>
              <c:numCache>
                <c:formatCode>General</c:formatCode>
                <c:ptCount val="5"/>
                <c:pt idx="0">
                  <c:v>715.3799999999999</c:v>
                </c:pt>
                <c:pt idx="1">
                  <c:v>7.140000000000001</c:v>
                </c:pt>
                <c:pt idx="2">
                  <c:v>-393.3099999999999</c:v>
                </c:pt>
                <c:pt idx="3">
                  <c:v>-292.0899999999988</c:v>
                </c:pt>
                <c:pt idx="4">
                  <c:v>1751.350000000001</c:v>
                </c:pt>
              </c:numCache>
            </c:numRef>
          </c:val>
        </c:ser>
        <c:overlap val="100"/>
        <c:axId val="455502264"/>
        <c:axId val="456057528"/>
      </c:barChart>
      <c:catAx>
        <c:axId val="455502264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lang="en-CA"/>
            </a:pPr>
            <a:endParaRPr lang="en-US"/>
          </a:p>
        </c:txPr>
        <c:crossAx val="456057528"/>
        <c:crosses val="autoZero"/>
        <c:auto val="1"/>
        <c:lblAlgn val="ctr"/>
        <c:lblOffset val="100"/>
      </c:catAx>
      <c:valAx>
        <c:axId val="45605752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45550226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CA"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10</xdr:row>
      <xdr:rowOff>76200</xdr:rowOff>
    </xdr:from>
    <xdr:to>
      <xdr:col>10</xdr:col>
      <xdr:colOff>314325</xdr:colOff>
      <xdr:row>24</xdr:row>
      <xdr:rowOff>152400</xdr:rowOff>
    </xdr:to>
    <xdr:graphicFrame macro="">
      <xdr:nvGraphicFramePr>
        <xdr:cNvPr id="143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10</xdr:row>
      <xdr:rowOff>76200</xdr:rowOff>
    </xdr:from>
    <xdr:to>
      <xdr:col>5</xdr:col>
      <xdr:colOff>133350</xdr:colOff>
      <xdr:row>24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666750</xdr:colOff>
      <xdr:row>10</xdr:row>
      <xdr:rowOff>95250</xdr:rowOff>
    </xdr:from>
    <xdr:to>
      <xdr:col>17</xdr:col>
      <xdr:colOff>238125</xdr:colOff>
      <xdr:row>24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32"/>
  <sheetViews>
    <sheetView topLeftCell="A17" zoomScale="125" workbookViewId="0">
      <selection activeCell="D32" sqref="D32"/>
    </sheetView>
  </sheetViews>
  <sheetFormatPr baseColWidth="10" defaultColWidth="11.42578125" defaultRowHeight="15"/>
  <cols>
    <col min="2" max="2" width="28" customWidth="1"/>
  </cols>
  <sheetData>
    <row r="1" spans="1:9" ht="35" customHeight="1">
      <c r="A1" s="48" t="s">
        <v>31</v>
      </c>
      <c r="B1" s="48"/>
      <c r="C1" s="48"/>
      <c r="D1" s="48"/>
      <c r="E1" s="48"/>
      <c r="F1" s="48"/>
      <c r="G1" s="48"/>
      <c r="H1" s="48"/>
      <c r="I1" s="48"/>
    </row>
    <row r="2" spans="1:9">
      <c r="B2">
        <v>1.5</v>
      </c>
      <c r="C2" s="25" t="s">
        <v>140</v>
      </c>
      <c r="D2" s="25" t="s">
        <v>25</v>
      </c>
      <c r="E2" t="s">
        <v>16</v>
      </c>
    </row>
    <row r="3" spans="1:9">
      <c r="A3" t="s">
        <v>184</v>
      </c>
      <c r="B3" t="s">
        <v>185</v>
      </c>
      <c r="C3">
        <v>3400</v>
      </c>
      <c r="D3">
        <f t="shared" ref="D3:D9" si="0">C3*$B$2</f>
        <v>5100</v>
      </c>
    </row>
    <row r="4" spans="1:9">
      <c r="B4" t="s">
        <v>115</v>
      </c>
      <c r="C4">
        <v>800</v>
      </c>
      <c r="D4">
        <f t="shared" si="0"/>
        <v>1200</v>
      </c>
    </row>
    <row r="5" spans="1:9">
      <c r="B5" t="s">
        <v>13</v>
      </c>
      <c r="C5">
        <f>15*30</f>
        <v>450</v>
      </c>
      <c r="D5">
        <f t="shared" si="0"/>
        <v>675</v>
      </c>
    </row>
    <row r="6" spans="1:9">
      <c r="B6" t="s">
        <v>186</v>
      </c>
      <c r="C6">
        <f>3*82</f>
        <v>246</v>
      </c>
      <c r="D6">
        <f t="shared" si="0"/>
        <v>369</v>
      </c>
    </row>
    <row r="7" spans="1:9">
      <c r="B7" t="s">
        <v>166</v>
      </c>
      <c r="C7">
        <f>1*66</f>
        <v>66</v>
      </c>
      <c r="D7">
        <f t="shared" si="0"/>
        <v>99</v>
      </c>
    </row>
    <row r="8" spans="1:9">
      <c r="B8" t="s">
        <v>116</v>
      </c>
      <c r="C8">
        <f>1*82</f>
        <v>82</v>
      </c>
      <c r="D8">
        <f t="shared" si="0"/>
        <v>123</v>
      </c>
    </row>
    <row r="9" spans="1:9">
      <c r="B9" t="s">
        <v>139</v>
      </c>
      <c r="D9">
        <f t="shared" si="0"/>
        <v>0</v>
      </c>
    </row>
    <row r="10" spans="1:9" ht="16" thickBot="1">
      <c r="D10" s="26">
        <f>SUM(D3:D9)</f>
        <v>7566</v>
      </c>
    </row>
    <row r="11" spans="1:9" ht="16" thickTop="1">
      <c r="B11" t="s">
        <v>167</v>
      </c>
    </row>
    <row r="13" spans="1:9">
      <c r="A13" s="39" t="s">
        <v>183</v>
      </c>
    </row>
    <row r="14" spans="1:9">
      <c r="A14" s="33" t="s">
        <v>71</v>
      </c>
    </row>
    <row r="15" spans="1:9">
      <c r="A15" s="33" t="s">
        <v>146</v>
      </c>
    </row>
    <row r="16" spans="1:9">
      <c r="A16" s="33" t="s">
        <v>19</v>
      </c>
    </row>
    <row r="17" spans="1:2">
      <c r="A17" s="33"/>
    </row>
    <row r="19" spans="1:2">
      <c r="A19" t="s">
        <v>263</v>
      </c>
    </row>
    <row r="20" spans="1:2">
      <c r="B20" t="s">
        <v>129</v>
      </c>
    </row>
    <row r="21" spans="1:2">
      <c r="B21" t="s">
        <v>221</v>
      </c>
    </row>
    <row r="22" spans="1:2">
      <c r="B22" t="s">
        <v>9</v>
      </c>
    </row>
    <row r="24" spans="1:2">
      <c r="B24" t="s">
        <v>130</v>
      </c>
    </row>
    <row r="25" spans="1:2">
      <c r="B25" t="s">
        <v>170</v>
      </c>
    </row>
    <row r="26" spans="1:2">
      <c r="B26" t="s">
        <v>136</v>
      </c>
    </row>
    <row r="28" spans="1:2">
      <c r="B28" t="s">
        <v>188</v>
      </c>
    </row>
    <row r="29" spans="1:2">
      <c r="B29" t="s">
        <v>137</v>
      </c>
    </row>
    <row r="31" spans="1:2">
      <c r="B31" t="s">
        <v>56</v>
      </c>
    </row>
    <row r="32" spans="1:2">
      <c r="B32" t="s">
        <v>55</v>
      </c>
    </row>
  </sheetData>
  <sheetCalcPr fullCalcOnLoad="1"/>
  <mergeCells count="1">
    <mergeCell ref="A1:I1"/>
  </mergeCells>
  <phoneticPr fontId="6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IT248"/>
  <sheetViews>
    <sheetView tabSelected="1" zoomScale="125" zoomScaleNormal="125" zoomScaleSheetLayoutView="75" zoomScalePageLayoutView="125" workbookViewId="0">
      <selection activeCell="E73" sqref="E73"/>
    </sheetView>
  </sheetViews>
  <sheetFormatPr baseColWidth="10" defaultColWidth="6.85546875" defaultRowHeight="15"/>
  <cols>
    <col min="1" max="1" width="8" style="1" customWidth="1"/>
    <col min="2" max="2" width="9.7109375" style="2" customWidth="1"/>
    <col min="3" max="3" width="9.7109375" style="1" customWidth="1"/>
    <col min="4" max="4" width="9.7109375" style="2" customWidth="1"/>
    <col min="5" max="5" width="20.28515625" style="1" customWidth="1"/>
    <col min="6" max="6" width="21.5703125" style="1" customWidth="1"/>
    <col min="7" max="7" width="8.28515625" style="1" customWidth="1"/>
    <col min="8" max="8" width="19.140625" style="1" customWidth="1"/>
    <col min="9" max="9" width="5.42578125" style="1" customWidth="1"/>
    <col min="10" max="254" width="7.42578125" style="1" customWidth="1"/>
  </cols>
  <sheetData>
    <row r="1" spans="1:254" ht="41" customHeight="1">
      <c r="A1" s="49" t="s">
        <v>31</v>
      </c>
      <c r="B1" s="49"/>
      <c r="C1" s="49"/>
      <c r="D1" s="49"/>
      <c r="E1" s="49"/>
      <c r="F1" s="49"/>
      <c r="G1" s="49"/>
      <c r="H1" s="49"/>
      <c r="I1" s="49"/>
    </row>
    <row r="2" spans="1:254">
      <c r="A2"/>
      <c r="B2"/>
      <c r="C2"/>
      <c r="D2"/>
      <c r="E2"/>
      <c r="F2"/>
      <c r="G2"/>
      <c r="H2"/>
    </row>
    <row r="3" spans="1:254">
      <c r="A3" s="50" t="s">
        <v>32</v>
      </c>
      <c r="B3" s="50"/>
      <c r="C3" s="50"/>
      <c r="D3" s="50"/>
      <c r="E3" s="50"/>
      <c r="F3" s="50"/>
      <c r="G3" s="50"/>
      <c r="H3" s="50"/>
      <c r="I3" s="50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>
      <c r="A4" s="51" t="s">
        <v>264</v>
      </c>
      <c r="B4" s="52"/>
      <c r="C4" s="52"/>
      <c r="D4" s="52"/>
      <c r="E4" s="52"/>
      <c r="F4" s="52"/>
      <c r="G4" s="52"/>
      <c r="H4" s="52"/>
      <c r="I4" s="52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2.75" customHeight="1">
      <c r="A5" s="3" t="s">
        <v>206</v>
      </c>
      <c r="B5" s="4" t="s">
        <v>207</v>
      </c>
      <c r="C5" s="3" t="s">
        <v>208</v>
      </c>
      <c r="D5" s="4" t="s">
        <v>209</v>
      </c>
      <c r="E5" s="3" t="s">
        <v>210</v>
      </c>
      <c r="F5" s="3" t="s">
        <v>211</v>
      </c>
      <c r="G5" s="3" t="s">
        <v>212</v>
      </c>
      <c r="H5" s="3" t="s">
        <v>218</v>
      </c>
      <c r="I5" s="3" t="s">
        <v>6</v>
      </c>
    </row>
    <row r="6" spans="1:254">
      <c r="A6" s="5">
        <v>39448</v>
      </c>
      <c r="B6" s="40">
        <v>15571.6</v>
      </c>
      <c r="C6" s="40"/>
      <c r="D6" s="38">
        <f>B6</f>
        <v>15571.6</v>
      </c>
      <c r="E6" s="1" t="s">
        <v>227</v>
      </c>
      <c r="F6" s="1" t="s">
        <v>227</v>
      </c>
      <c r="G6" s="6" t="s">
        <v>228</v>
      </c>
      <c r="H6" s="6" t="s">
        <v>28</v>
      </c>
      <c r="I6" s="1">
        <f>VLOOKUP($H6,$H$210:$I$235,2,0)</f>
        <v>90</v>
      </c>
    </row>
    <row r="7" spans="1:254">
      <c r="A7" s="5">
        <v>39448</v>
      </c>
      <c r="B7" s="38">
        <v>5180.51</v>
      </c>
      <c r="C7" s="38"/>
      <c r="D7" s="38">
        <f>D6+B7+C7</f>
        <v>20752.11</v>
      </c>
      <c r="E7" s="1" t="s">
        <v>227</v>
      </c>
      <c r="F7" s="1" t="s">
        <v>227</v>
      </c>
      <c r="G7" s="6" t="s">
        <v>84</v>
      </c>
      <c r="H7" s="6" t="s">
        <v>28</v>
      </c>
      <c r="I7" s="1">
        <f>VLOOKUP($H7,$H$210:$I$235,2,0)</f>
        <v>90</v>
      </c>
    </row>
    <row r="8" spans="1:254">
      <c r="A8" s="5">
        <v>40911</v>
      </c>
      <c r="B8" s="38">
        <v>80</v>
      </c>
      <c r="C8" s="38"/>
      <c r="D8" s="38">
        <f t="shared" ref="D8:D70" si="0">D7+B8+C8</f>
        <v>20832.11</v>
      </c>
      <c r="E8" s="6" t="s">
        <v>118</v>
      </c>
      <c r="F8" s="6" t="s">
        <v>192</v>
      </c>
      <c r="G8" s="6" t="s">
        <v>193</v>
      </c>
      <c r="H8" s="6" t="s">
        <v>85</v>
      </c>
      <c r="I8" s="1">
        <f>VLOOKUP($H8,$H$210:$I$235,2,0)</f>
        <v>16</v>
      </c>
    </row>
    <row r="9" spans="1:254">
      <c r="A9" s="5">
        <v>40911</v>
      </c>
      <c r="B9" s="38"/>
      <c r="C9" s="38">
        <v>-2.62</v>
      </c>
      <c r="D9" s="38">
        <f t="shared" si="0"/>
        <v>20829.490000000002</v>
      </c>
      <c r="E9" s="6" t="s">
        <v>193</v>
      </c>
      <c r="F9" s="6" t="s">
        <v>195</v>
      </c>
      <c r="G9" s="6" t="s">
        <v>193</v>
      </c>
      <c r="H9" s="6" t="s">
        <v>191</v>
      </c>
      <c r="I9" s="1">
        <f>VLOOKUP($H9,$H$210:$I$235,2,0)</f>
        <v>4</v>
      </c>
    </row>
    <row r="10" spans="1:254">
      <c r="A10" s="5">
        <v>40912</v>
      </c>
      <c r="B10" s="38"/>
      <c r="C10" s="38">
        <v>-150</v>
      </c>
      <c r="D10" s="38">
        <f t="shared" si="0"/>
        <v>20679.490000000002</v>
      </c>
      <c r="E10" s="6" t="s">
        <v>194</v>
      </c>
      <c r="F10" s="6" t="s">
        <v>196</v>
      </c>
      <c r="G10" s="6" t="s">
        <v>193</v>
      </c>
      <c r="H10" s="6" t="s">
        <v>102</v>
      </c>
      <c r="I10" s="1">
        <f>VLOOKUP($H10,$H$210:$I$235,2,0)</f>
        <v>6</v>
      </c>
    </row>
    <row r="11" spans="1:254">
      <c r="A11" s="5">
        <v>40912</v>
      </c>
      <c r="B11" s="38">
        <v>5.85</v>
      </c>
      <c r="C11" s="38"/>
      <c r="D11" s="38">
        <f t="shared" si="0"/>
        <v>20685.34</v>
      </c>
      <c r="E11" s="6" t="s">
        <v>193</v>
      </c>
      <c r="F11" s="6" t="s">
        <v>92</v>
      </c>
      <c r="G11" s="6" t="s">
        <v>193</v>
      </c>
      <c r="H11" s="6" t="s">
        <v>93</v>
      </c>
      <c r="I11" s="1">
        <f>VLOOKUP($H11,$H$210:$I$235,2,0)</f>
        <v>4</v>
      </c>
    </row>
    <row r="12" spans="1:254">
      <c r="A12" s="5">
        <v>40913</v>
      </c>
      <c r="B12" s="43">
        <v>25</v>
      </c>
      <c r="C12" s="38"/>
      <c r="D12" s="38">
        <f t="shared" si="0"/>
        <v>20710.34</v>
      </c>
      <c r="E12" s="6" t="s">
        <v>94</v>
      </c>
      <c r="F12" s="6" t="s">
        <v>95</v>
      </c>
      <c r="G12" s="6" t="s">
        <v>193</v>
      </c>
      <c r="H12" s="6" t="s">
        <v>96</v>
      </c>
      <c r="I12" s="1">
        <f>VLOOKUP($H12,$H$210:$I$235,2,0)</f>
        <v>16</v>
      </c>
    </row>
    <row r="13" spans="1:254">
      <c r="A13" s="5">
        <v>40913</v>
      </c>
      <c r="B13" s="38"/>
      <c r="C13" s="38">
        <v>-1.03</v>
      </c>
      <c r="D13" s="38">
        <f t="shared" si="0"/>
        <v>20709.310000000001</v>
      </c>
      <c r="E13" s="6" t="s">
        <v>193</v>
      </c>
      <c r="F13" s="6" t="s">
        <v>91</v>
      </c>
      <c r="G13" s="6" t="s">
        <v>193</v>
      </c>
      <c r="H13" s="6" t="s">
        <v>97</v>
      </c>
      <c r="I13" s="1">
        <f>VLOOKUP($H13,$H$210:$I$235,2,0)</f>
        <v>4</v>
      </c>
    </row>
    <row r="14" spans="1:254">
      <c r="A14" s="5">
        <v>40913</v>
      </c>
      <c r="B14" s="2">
        <v>80</v>
      </c>
      <c r="C14" s="38"/>
      <c r="D14" s="38">
        <f t="shared" si="0"/>
        <v>20789.310000000001</v>
      </c>
      <c r="E14" s="43" t="s">
        <v>205</v>
      </c>
      <c r="F14" s="6" t="s">
        <v>171</v>
      </c>
      <c r="G14" s="6" t="s">
        <v>193</v>
      </c>
      <c r="H14" s="6" t="s">
        <v>172</v>
      </c>
      <c r="I14" s="1">
        <f>VLOOKUP($H14,$H$210:$I$235,2,0)</f>
        <v>16</v>
      </c>
    </row>
    <row r="15" spans="1:254">
      <c r="A15" s="5">
        <v>40913</v>
      </c>
      <c r="B15" s="38"/>
      <c r="C15" s="38">
        <v>-2.62</v>
      </c>
      <c r="D15" s="38">
        <f t="shared" si="0"/>
        <v>20786.690000000002</v>
      </c>
      <c r="E15" s="6" t="s">
        <v>173</v>
      </c>
      <c r="F15" s="6" t="s">
        <v>174</v>
      </c>
      <c r="G15" s="6" t="s">
        <v>193</v>
      </c>
      <c r="H15" s="6" t="s">
        <v>175</v>
      </c>
      <c r="I15" s="1">
        <f>VLOOKUP($H15,$H$210:$I$235,2,0)</f>
        <v>4</v>
      </c>
    </row>
    <row r="16" spans="1:254">
      <c r="A16" s="5">
        <v>40914</v>
      </c>
      <c r="B16" s="38">
        <v>50</v>
      </c>
      <c r="C16" s="38"/>
      <c r="D16" s="38">
        <f t="shared" si="0"/>
        <v>20836.690000000002</v>
      </c>
      <c r="E16" s="6" t="s">
        <v>176</v>
      </c>
      <c r="F16" s="6" t="s">
        <v>177</v>
      </c>
      <c r="G16" s="6" t="s">
        <v>193</v>
      </c>
      <c r="H16" s="6" t="s">
        <v>29</v>
      </c>
      <c r="I16" s="1">
        <f>VLOOKUP($H16,$H$210:$I$235,2,0)</f>
        <v>9</v>
      </c>
    </row>
    <row r="17" spans="1:9">
      <c r="A17" s="5">
        <v>40914</v>
      </c>
      <c r="B17" s="38"/>
      <c r="C17" s="38">
        <v>-1.75</v>
      </c>
      <c r="D17" s="38">
        <f t="shared" si="0"/>
        <v>20834.940000000002</v>
      </c>
      <c r="E17" s="6" t="s">
        <v>173</v>
      </c>
      <c r="F17" s="6" t="s">
        <v>91</v>
      </c>
      <c r="G17" s="6" t="s">
        <v>193</v>
      </c>
      <c r="H17" s="6" t="s">
        <v>97</v>
      </c>
      <c r="I17" s="1">
        <f>VLOOKUP($H17,$H$210:$I$235,2,0)</f>
        <v>4</v>
      </c>
    </row>
    <row r="18" spans="1:9">
      <c r="A18" s="5">
        <v>40916</v>
      </c>
      <c r="B18" s="38">
        <v>50</v>
      </c>
      <c r="C18" s="38"/>
      <c r="D18" s="38">
        <f t="shared" si="0"/>
        <v>20884.940000000002</v>
      </c>
      <c r="E18" s="6" t="s">
        <v>178</v>
      </c>
      <c r="F18" s="6" t="s">
        <v>177</v>
      </c>
      <c r="G18" s="6" t="s">
        <v>193</v>
      </c>
      <c r="H18" s="6" t="s">
        <v>29</v>
      </c>
      <c r="I18" s="1">
        <f>VLOOKUP($H18,$H$210:$I$235,2,0)</f>
        <v>9</v>
      </c>
    </row>
    <row r="19" spans="1:9">
      <c r="A19" s="5">
        <v>40916</v>
      </c>
      <c r="B19" s="40"/>
      <c r="C19" s="40">
        <v>-1.75</v>
      </c>
      <c r="D19" s="38">
        <f t="shared" si="0"/>
        <v>20883.190000000002</v>
      </c>
      <c r="E19" s="6" t="s">
        <v>193</v>
      </c>
      <c r="F19" s="6" t="s">
        <v>91</v>
      </c>
      <c r="G19" s="6" t="s">
        <v>193</v>
      </c>
      <c r="H19" s="6" t="s">
        <v>97</v>
      </c>
      <c r="I19" s="1">
        <f>VLOOKUP($H19,$H$210:$I$235,2,0)</f>
        <v>4</v>
      </c>
    </row>
    <row r="20" spans="1:9">
      <c r="A20" s="5">
        <v>40920</v>
      </c>
      <c r="B20" s="40">
        <v>100</v>
      </c>
      <c r="C20" s="40"/>
      <c r="D20" s="38">
        <f t="shared" si="0"/>
        <v>20983.190000000002</v>
      </c>
      <c r="E20" s="6" t="s">
        <v>179</v>
      </c>
      <c r="F20" s="6" t="s">
        <v>22</v>
      </c>
      <c r="G20" s="6" t="s">
        <v>193</v>
      </c>
      <c r="H20" s="6" t="s">
        <v>172</v>
      </c>
      <c r="I20" s="1">
        <f>VLOOKUP($H20,$H$210:$I$235,2,0)</f>
        <v>16</v>
      </c>
    </row>
    <row r="21" spans="1:9">
      <c r="A21" s="5">
        <v>40920</v>
      </c>
      <c r="B21" s="40"/>
      <c r="C21" s="40">
        <v>-3.2</v>
      </c>
      <c r="D21" s="38">
        <f t="shared" si="0"/>
        <v>20979.99</v>
      </c>
      <c r="E21" s="6" t="s">
        <v>193</v>
      </c>
      <c r="F21" s="6" t="s">
        <v>91</v>
      </c>
      <c r="G21" s="6" t="s">
        <v>193</v>
      </c>
      <c r="H21" s="6" t="s">
        <v>97</v>
      </c>
      <c r="I21" s="1">
        <f>VLOOKUP($H21,$H$210:$I$235,2,0)</f>
        <v>4</v>
      </c>
    </row>
    <row r="22" spans="1:9">
      <c r="A22" s="5">
        <v>40923</v>
      </c>
      <c r="B22" s="43">
        <v>25</v>
      </c>
      <c r="C22" s="38"/>
      <c r="D22" s="38">
        <f>D21+B22+C22</f>
        <v>21004.99</v>
      </c>
      <c r="E22" s="6" t="s">
        <v>23</v>
      </c>
      <c r="F22" s="6" t="s">
        <v>95</v>
      </c>
      <c r="G22" s="6" t="s">
        <v>193</v>
      </c>
      <c r="H22" s="6" t="s">
        <v>96</v>
      </c>
      <c r="I22" s="1">
        <f>VLOOKUP($H22,$H$210:$I$235,2,0)</f>
        <v>16</v>
      </c>
    </row>
    <row r="23" spans="1:9">
      <c r="A23" s="5">
        <v>40923</v>
      </c>
      <c r="B23" s="38"/>
      <c r="C23" s="38">
        <v>-1.03</v>
      </c>
      <c r="D23" s="38">
        <f>D22+B23+C23</f>
        <v>21003.960000000003</v>
      </c>
      <c r="E23" s="6" t="s">
        <v>193</v>
      </c>
      <c r="F23" s="6" t="s">
        <v>91</v>
      </c>
      <c r="G23" s="6" t="s">
        <v>193</v>
      </c>
      <c r="H23" s="6" t="s">
        <v>97</v>
      </c>
      <c r="I23" s="1">
        <f>VLOOKUP($H23,$H$210:$I$235,2,0)</f>
        <v>4</v>
      </c>
    </row>
    <row r="24" spans="1:9">
      <c r="A24" s="5">
        <v>40927</v>
      </c>
      <c r="B24" s="38">
        <v>80</v>
      </c>
      <c r="C24" s="38"/>
      <c r="D24" s="38">
        <f t="shared" si="0"/>
        <v>21083.960000000003</v>
      </c>
      <c r="E24" s="6" t="s">
        <v>155</v>
      </c>
      <c r="F24" s="6" t="s">
        <v>171</v>
      </c>
      <c r="G24" s="6" t="s">
        <v>193</v>
      </c>
      <c r="H24" s="6" t="s">
        <v>172</v>
      </c>
      <c r="I24" s="1">
        <f>VLOOKUP($H24,$H$210:$I$235,2,0)</f>
        <v>16</v>
      </c>
    </row>
    <row r="25" spans="1:9">
      <c r="A25" s="5">
        <v>40927</v>
      </c>
      <c r="B25" s="38"/>
      <c r="C25" s="38">
        <v>-3.42</v>
      </c>
      <c r="D25" s="38">
        <f t="shared" si="0"/>
        <v>21080.540000000005</v>
      </c>
      <c r="E25" s="6" t="s">
        <v>193</v>
      </c>
      <c r="F25" s="6" t="s">
        <v>91</v>
      </c>
      <c r="G25" s="6" t="s">
        <v>193</v>
      </c>
      <c r="H25" s="6" t="s">
        <v>97</v>
      </c>
      <c r="I25" s="1">
        <f>VLOOKUP($H25,$H$210:$I$235,2,0)</f>
        <v>4</v>
      </c>
    </row>
    <row r="26" spans="1:9">
      <c r="A26" s="5">
        <v>40928</v>
      </c>
      <c r="B26" s="40">
        <v>80</v>
      </c>
      <c r="C26" s="40"/>
      <c r="D26" s="38">
        <f t="shared" si="0"/>
        <v>21160.540000000005</v>
      </c>
      <c r="E26" s="6" t="s">
        <v>156</v>
      </c>
      <c r="F26" s="6" t="s">
        <v>171</v>
      </c>
      <c r="G26" s="6" t="s">
        <v>193</v>
      </c>
      <c r="H26" s="6" t="s">
        <v>22</v>
      </c>
      <c r="I26" s="1">
        <f>VLOOKUP($H26,$H$210:$I$235,2,0)</f>
        <v>16</v>
      </c>
    </row>
    <row r="27" spans="1:9">
      <c r="A27" s="5">
        <v>40928</v>
      </c>
      <c r="B27" s="40"/>
      <c r="C27" s="40">
        <v>-2.62</v>
      </c>
      <c r="D27" s="38">
        <f t="shared" si="0"/>
        <v>21157.920000000006</v>
      </c>
      <c r="E27" s="6" t="s">
        <v>193</v>
      </c>
      <c r="F27" s="6" t="s">
        <v>91</v>
      </c>
      <c r="G27" s="6" t="s">
        <v>193</v>
      </c>
      <c r="H27" s="6" t="s">
        <v>97</v>
      </c>
      <c r="I27" s="1">
        <f>VLOOKUP($H27,$H$210:$I$235,2,0)</f>
        <v>4</v>
      </c>
    </row>
    <row r="28" spans="1:9">
      <c r="A28" s="5">
        <v>40931</v>
      </c>
      <c r="B28" s="38">
        <v>150</v>
      </c>
      <c r="C28" s="38"/>
      <c r="D28" s="38">
        <f t="shared" si="0"/>
        <v>21307.920000000006</v>
      </c>
      <c r="E28" s="6" t="s">
        <v>157</v>
      </c>
      <c r="F28" s="6" t="s">
        <v>158</v>
      </c>
      <c r="G28" s="6" t="s">
        <v>193</v>
      </c>
      <c r="H28" s="6" t="s">
        <v>102</v>
      </c>
      <c r="I28" s="1">
        <f>VLOOKUP($H28,$H$210:$I$235,2,0)</f>
        <v>6</v>
      </c>
    </row>
    <row r="29" spans="1:9">
      <c r="A29" s="5">
        <v>40931</v>
      </c>
      <c r="B29" s="38"/>
      <c r="C29" s="38">
        <v>-4.6500000000000004</v>
      </c>
      <c r="D29" s="38">
        <f t="shared" si="0"/>
        <v>21303.270000000004</v>
      </c>
      <c r="E29" s="6" t="s">
        <v>193</v>
      </c>
      <c r="F29" s="6" t="s">
        <v>91</v>
      </c>
      <c r="G29" s="6" t="s">
        <v>193</v>
      </c>
      <c r="H29" s="6" t="s">
        <v>97</v>
      </c>
      <c r="I29" s="1">
        <f>VLOOKUP($H29,$H$210:$I$235,2,0)</f>
        <v>4</v>
      </c>
    </row>
    <row r="30" spans="1:9">
      <c r="A30" s="5">
        <v>40932</v>
      </c>
      <c r="B30" s="40">
        <v>75</v>
      </c>
      <c r="C30" s="40"/>
      <c r="D30" s="38">
        <f t="shared" si="0"/>
        <v>21378.270000000004</v>
      </c>
      <c r="E30" s="6" t="s">
        <v>20</v>
      </c>
      <c r="F30" s="6" t="s">
        <v>177</v>
      </c>
      <c r="G30" s="6" t="s">
        <v>193</v>
      </c>
      <c r="H30" s="6" t="s">
        <v>159</v>
      </c>
      <c r="I30" s="1">
        <f>VLOOKUP($H30,$H$210:$I$235,2,0)</f>
        <v>9</v>
      </c>
    </row>
    <row r="31" spans="1:9">
      <c r="A31" s="5">
        <v>40932</v>
      </c>
      <c r="B31" s="38"/>
      <c r="C31" s="38">
        <v>-2.48</v>
      </c>
      <c r="D31" s="38">
        <f t="shared" si="0"/>
        <v>21375.790000000005</v>
      </c>
      <c r="E31" s="6" t="s">
        <v>193</v>
      </c>
      <c r="F31" s="6" t="s">
        <v>91</v>
      </c>
      <c r="G31" s="6" t="s">
        <v>193</v>
      </c>
      <c r="H31" s="6" t="s">
        <v>97</v>
      </c>
      <c r="I31" s="1">
        <f>VLOOKUP($H31,$H$210:$I$235,2,0)</f>
        <v>4</v>
      </c>
    </row>
    <row r="32" spans="1:9">
      <c r="A32" s="5">
        <v>40937</v>
      </c>
      <c r="B32" s="38">
        <v>100</v>
      </c>
      <c r="C32" s="38"/>
      <c r="D32" s="38">
        <f t="shared" si="0"/>
        <v>21475.790000000005</v>
      </c>
      <c r="E32" s="6" t="s">
        <v>160</v>
      </c>
      <c r="F32" s="6" t="s">
        <v>22</v>
      </c>
      <c r="G32" s="6" t="s">
        <v>162</v>
      </c>
      <c r="H32" s="6" t="s">
        <v>161</v>
      </c>
      <c r="I32" s="1">
        <f>VLOOKUP($H32,$H$210:$I$235,2,0)</f>
        <v>16</v>
      </c>
    </row>
    <row r="33" spans="1:14">
      <c r="A33" s="5">
        <v>40937</v>
      </c>
      <c r="B33" s="38"/>
      <c r="C33" s="38">
        <v>-3.2</v>
      </c>
      <c r="D33" s="38">
        <f t="shared" si="0"/>
        <v>21472.590000000004</v>
      </c>
      <c r="E33" s="6" t="s">
        <v>193</v>
      </c>
      <c r="F33" s="6" t="s">
        <v>91</v>
      </c>
      <c r="G33" s="6" t="s">
        <v>193</v>
      </c>
      <c r="H33" s="6" t="s">
        <v>97</v>
      </c>
      <c r="I33" s="1">
        <f>VLOOKUP($H33,$H$210:$I$235,2,0)</f>
        <v>4</v>
      </c>
    </row>
    <row r="34" spans="1:14">
      <c r="A34" s="5">
        <v>40938</v>
      </c>
      <c r="B34" s="38">
        <v>245.05</v>
      </c>
      <c r="C34" s="38"/>
      <c r="D34" s="38">
        <f t="shared" si="0"/>
        <v>21717.640000000003</v>
      </c>
      <c r="E34" s="6" t="s">
        <v>72</v>
      </c>
      <c r="F34" s="6" t="s">
        <v>73</v>
      </c>
      <c r="G34" s="6" t="s">
        <v>81</v>
      </c>
      <c r="H34" s="6" t="s">
        <v>83</v>
      </c>
      <c r="I34" s="1">
        <f>VLOOKUP($H34,$H$210:$I$235,2,0)</f>
        <v>23</v>
      </c>
    </row>
    <row r="35" spans="1:14">
      <c r="A35" s="5">
        <v>40939</v>
      </c>
      <c r="B35" s="38">
        <v>0.14000000000000001</v>
      </c>
      <c r="C35" s="38"/>
      <c r="D35" s="38">
        <f t="shared" si="0"/>
        <v>21717.780000000002</v>
      </c>
      <c r="E35" s="6" t="s">
        <v>77</v>
      </c>
      <c r="F35" s="6" t="s">
        <v>182</v>
      </c>
      <c r="G35" s="6" t="s">
        <v>81</v>
      </c>
      <c r="H35" s="6" t="s">
        <v>106</v>
      </c>
      <c r="I35" s="1">
        <f>VLOOKUP($H35,$H$210:$I$235,2,0)</f>
        <v>12</v>
      </c>
    </row>
    <row r="36" spans="1:14">
      <c r="A36" s="5">
        <v>40942</v>
      </c>
      <c r="B36" s="38">
        <v>80</v>
      </c>
      <c r="C36" s="38"/>
      <c r="D36" s="38">
        <f t="shared" si="0"/>
        <v>21797.780000000002</v>
      </c>
      <c r="E36" s="6" t="s">
        <v>163</v>
      </c>
      <c r="F36" s="6" t="s">
        <v>171</v>
      </c>
      <c r="G36" s="6" t="s">
        <v>193</v>
      </c>
      <c r="H36" s="6" t="s">
        <v>172</v>
      </c>
      <c r="I36" s="1">
        <f>VLOOKUP($H36,$H$210:$I$235,2,0)</f>
        <v>16</v>
      </c>
    </row>
    <row r="37" spans="1:14">
      <c r="A37" s="5">
        <v>40942</v>
      </c>
      <c r="B37" s="40"/>
      <c r="C37" s="40">
        <v>-2.62</v>
      </c>
      <c r="D37" s="38">
        <f t="shared" si="0"/>
        <v>21795.160000000003</v>
      </c>
      <c r="E37" s="6" t="s">
        <v>193</v>
      </c>
      <c r="F37" s="6" t="s">
        <v>91</v>
      </c>
      <c r="G37" s="6" t="s">
        <v>193</v>
      </c>
      <c r="H37" s="6" t="s">
        <v>97</v>
      </c>
      <c r="I37" s="1">
        <f>VLOOKUP($H37,$H$210:$I$235,2,0)</f>
        <v>4</v>
      </c>
    </row>
    <row r="38" spans="1:14">
      <c r="A38" s="5">
        <v>40942</v>
      </c>
      <c r="B38" s="38"/>
      <c r="C38" s="38">
        <v>-75</v>
      </c>
      <c r="D38" s="38">
        <f t="shared" si="0"/>
        <v>21720.160000000003</v>
      </c>
      <c r="E38" s="6" t="s">
        <v>20</v>
      </c>
      <c r="F38" s="6" t="s">
        <v>164</v>
      </c>
      <c r="G38" s="6" t="s">
        <v>193</v>
      </c>
      <c r="H38" s="6" t="s">
        <v>165</v>
      </c>
      <c r="I38" s="1">
        <f>VLOOKUP($H38,$H$210:$I$235,2,0)</f>
        <v>9</v>
      </c>
    </row>
    <row r="39" spans="1:14">
      <c r="A39" s="5">
        <v>40942</v>
      </c>
      <c r="B39" s="38">
        <v>2.1800000000000002</v>
      </c>
      <c r="C39" s="38"/>
      <c r="D39" s="38">
        <f t="shared" si="0"/>
        <v>21722.340000000004</v>
      </c>
      <c r="E39" s="6" t="s">
        <v>193</v>
      </c>
      <c r="F39" s="6" t="s">
        <v>92</v>
      </c>
      <c r="G39" s="6" t="s">
        <v>193</v>
      </c>
      <c r="H39" s="6" t="s">
        <v>97</v>
      </c>
      <c r="I39" s="1">
        <f>VLOOKUP($H39,$H$210:$I$235,2,0)</f>
        <v>4</v>
      </c>
    </row>
    <row r="40" spans="1:14">
      <c r="A40" s="5">
        <v>40946</v>
      </c>
      <c r="B40" s="38"/>
      <c r="C40" s="38">
        <v>-25</v>
      </c>
      <c r="D40" s="38">
        <f t="shared" si="0"/>
        <v>21697.340000000004</v>
      </c>
      <c r="E40" s="6" t="s">
        <v>87</v>
      </c>
      <c r="F40" s="6" t="s">
        <v>88</v>
      </c>
      <c r="G40" s="6" t="s">
        <v>89</v>
      </c>
      <c r="H40" s="6" t="s">
        <v>90</v>
      </c>
      <c r="I40" s="1">
        <f>VLOOKUP($H40,$H$210:$I$235,2,0)</f>
        <v>4</v>
      </c>
    </row>
    <row r="41" spans="1:14">
      <c r="A41" s="5">
        <v>40952</v>
      </c>
      <c r="B41" s="38"/>
      <c r="C41" s="38">
        <v>-500</v>
      </c>
      <c r="D41" s="38">
        <f t="shared" si="0"/>
        <v>21197.340000000004</v>
      </c>
      <c r="E41" s="6" t="s">
        <v>79</v>
      </c>
      <c r="F41" s="6" t="s">
        <v>80</v>
      </c>
      <c r="G41" s="6" t="s">
        <v>81</v>
      </c>
      <c r="H41" s="6" t="s">
        <v>202</v>
      </c>
      <c r="I41" s="1">
        <f>VLOOKUP($H41,$H$210:$I$235,2,0)</f>
        <v>21</v>
      </c>
    </row>
    <row r="42" spans="1:14">
      <c r="A42" s="5">
        <v>40952</v>
      </c>
      <c r="B42" s="38"/>
      <c r="C42" s="38">
        <v>-50</v>
      </c>
      <c r="D42" s="38">
        <f t="shared" si="0"/>
        <v>21147.340000000004</v>
      </c>
      <c r="E42" s="6" t="s">
        <v>176</v>
      </c>
      <c r="F42" s="6" t="s">
        <v>164</v>
      </c>
      <c r="G42" s="6" t="s">
        <v>193</v>
      </c>
      <c r="H42" s="6" t="s">
        <v>159</v>
      </c>
      <c r="I42" s="1">
        <f>VLOOKUP($H42,$H$210:$I$235,2,0)</f>
        <v>9</v>
      </c>
      <c r="M42" s="1">
        <v>1.3555999999999999</v>
      </c>
    </row>
    <row r="43" spans="1:14">
      <c r="A43" s="5">
        <v>40952</v>
      </c>
      <c r="B43" s="38">
        <v>1.45</v>
      </c>
      <c r="C43" s="38"/>
      <c r="D43" s="38">
        <f t="shared" si="0"/>
        <v>21148.790000000005</v>
      </c>
      <c r="E43" s="6" t="s">
        <v>193</v>
      </c>
      <c r="F43" s="6" t="s">
        <v>92</v>
      </c>
      <c r="G43" s="6" t="s">
        <v>193</v>
      </c>
      <c r="H43" s="6" t="s">
        <v>97</v>
      </c>
      <c r="I43" s="1">
        <f>VLOOKUP($H43,$H$210:$I$235,2,0)</f>
        <v>4</v>
      </c>
    </row>
    <row r="44" spans="1:14">
      <c r="A44" s="5">
        <v>40952</v>
      </c>
      <c r="B44" s="38"/>
      <c r="C44" s="38">
        <v>-50</v>
      </c>
      <c r="D44" s="38">
        <f t="shared" si="0"/>
        <v>21098.790000000005</v>
      </c>
      <c r="E44" s="6" t="s">
        <v>21</v>
      </c>
      <c r="F44" s="6" t="s">
        <v>164</v>
      </c>
      <c r="G44" s="6" t="s">
        <v>193</v>
      </c>
      <c r="H44" s="6" t="s">
        <v>159</v>
      </c>
      <c r="I44" s="1">
        <f>VLOOKUP($H44,$H$210:$I$235,2,0)</f>
        <v>9</v>
      </c>
      <c r="M44" s="1">
        <v>3320</v>
      </c>
      <c r="N44" s="2">
        <f>M44*M$42</f>
        <v>4500.5919999999996</v>
      </c>
    </row>
    <row r="45" spans="1:14">
      <c r="A45" s="5">
        <v>40952</v>
      </c>
      <c r="B45" s="38">
        <v>1.45</v>
      </c>
      <c r="C45" s="38"/>
      <c r="D45" s="38">
        <f t="shared" si="0"/>
        <v>21100.240000000005</v>
      </c>
      <c r="E45" s="6" t="s">
        <v>193</v>
      </c>
      <c r="F45" s="6" t="s">
        <v>92</v>
      </c>
      <c r="G45" s="6" t="s">
        <v>193</v>
      </c>
      <c r="H45" s="6" t="s">
        <v>97</v>
      </c>
      <c r="I45" s="1">
        <f>VLOOKUP($H45,$H$210:$I$235,2,0)</f>
        <v>4</v>
      </c>
      <c r="M45" s="1">
        <v>262</v>
      </c>
      <c r="N45" s="2">
        <f>M45*M$42</f>
        <v>355.16719999999998</v>
      </c>
    </row>
    <row r="46" spans="1:14" ht="15" customHeight="1">
      <c r="A46" s="5">
        <v>40953</v>
      </c>
      <c r="B46" s="38"/>
      <c r="C46" s="38">
        <v>-4500.59</v>
      </c>
      <c r="D46" s="38">
        <f t="shared" si="0"/>
        <v>16599.650000000005</v>
      </c>
      <c r="E46" s="6" t="s">
        <v>74</v>
      </c>
      <c r="F46" s="6" t="s">
        <v>76</v>
      </c>
      <c r="G46" s="6" t="s">
        <v>81</v>
      </c>
      <c r="H46" s="6" t="s">
        <v>44</v>
      </c>
      <c r="I46" s="1">
        <f>VLOOKUP($H46,$H$210:$I$235,2,0)</f>
        <v>13</v>
      </c>
      <c r="M46" s="1">
        <f>SUM(M44:M45)</f>
        <v>3582</v>
      </c>
      <c r="N46" s="2">
        <f>M46*M$42</f>
        <v>4855.7591999999995</v>
      </c>
    </row>
    <row r="47" spans="1:14" ht="15" customHeight="1">
      <c r="A47" s="5">
        <v>40953</v>
      </c>
      <c r="B47" s="38"/>
      <c r="C47" s="38">
        <v>-355.17</v>
      </c>
      <c r="D47" s="38">
        <f t="shared" si="0"/>
        <v>16244.480000000005</v>
      </c>
      <c r="E47" s="6" t="s">
        <v>74</v>
      </c>
      <c r="F47" s="6" t="s">
        <v>75</v>
      </c>
      <c r="G47" s="6" t="s">
        <v>81</v>
      </c>
      <c r="H47" s="6" t="s">
        <v>180</v>
      </c>
      <c r="I47" s="1">
        <f>VLOOKUP($H47,$H$210:$I$235,2,0)</f>
        <v>5</v>
      </c>
    </row>
    <row r="48" spans="1:14" ht="15" customHeight="1">
      <c r="A48" s="5">
        <v>40953</v>
      </c>
      <c r="B48" s="38"/>
      <c r="C48" s="38">
        <v>-25</v>
      </c>
      <c r="D48" s="38">
        <f t="shared" si="0"/>
        <v>16219.480000000005</v>
      </c>
      <c r="E48" s="6" t="s">
        <v>77</v>
      </c>
      <c r="F48" s="6" t="s">
        <v>78</v>
      </c>
      <c r="G48" s="6" t="s">
        <v>81</v>
      </c>
      <c r="H48" s="6" t="s">
        <v>93</v>
      </c>
      <c r="I48" s="1">
        <f>VLOOKUP($H48,$H$210:$I$235,2,0)</f>
        <v>4</v>
      </c>
    </row>
    <row r="49" spans="1:9">
      <c r="A49" s="5">
        <v>40967</v>
      </c>
      <c r="B49" s="40">
        <v>100</v>
      </c>
      <c r="C49" s="40"/>
      <c r="D49" s="38">
        <f t="shared" si="0"/>
        <v>16319.480000000005</v>
      </c>
      <c r="E49" s="6" t="s">
        <v>235</v>
      </c>
      <c r="F49" s="6" t="s">
        <v>240</v>
      </c>
      <c r="G49" s="6" t="s">
        <v>238</v>
      </c>
      <c r="H49" s="6" t="s">
        <v>241</v>
      </c>
      <c r="I49" s="1">
        <f>VLOOKUP($H49,$H$210:$I$235,2,0)</f>
        <v>6</v>
      </c>
    </row>
    <row r="50" spans="1:9">
      <c r="A50" s="5">
        <v>40967</v>
      </c>
      <c r="B50" s="40"/>
      <c r="C50" s="40">
        <v>-3.2</v>
      </c>
      <c r="D50" s="38">
        <f t="shared" si="0"/>
        <v>16316.280000000004</v>
      </c>
      <c r="E50" s="6" t="s">
        <v>236</v>
      </c>
      <c r="F50" s="6" t="s">
        <v>237</v>
      </c>
      <c r="G50" s="6" t="s">
        <v>238</v>
      </c>
      <c r="H50" s="6" t="s">
        <v>239</v>
      </c>
      <c r="I50" s="1">
        <f>VLOOKUP($H50,$H$210:$I$235,2,0)</f>
        <v>4</v>
      </c>
    </row>
    <row r="51" spans="1:9">
      <c r="A51" s="5">
        <v>40968</v>
      </c>
      <c r="B51" s="40">
        <v>0.1</v>
      </c>
      <c r="C51" s="40"/>
      <c r="D51" s="38">
        <f t="shared" si="0"/>
        <v>16316.380000000005</v>
      </c>
      <c r="E51" s="6" t="s">
        <v>38</v>
      </c>
      <c r="F51" s="6" t="s">
        <v>39</v>
      </c>
      <c r="G51" s="6" t="s">
        <v>40</v>
      </c>
      <c r="H51" s="6" t="s">
        <v>41</v>
      </c>
      <c r="I51" s="1">
        <f>VLOOKUP($H51,$H$210:$I$235,2,0)</f>
        <v>12</v>
      </c>
    </row>
    <row r="52" spans="1:9">
      <c r="A52" s="5">
        <v>40969</v>
      </c>
      <c r="B52" s="40"/>
      <c r="C52" s="40">
        <v>-500</v>
      </c>
      <c r="D52" s="38">
        <f t="shared" si="0"/>
        <v>15816.380000000005</v>
      </c>
      <c r="E52" s="6" t="s">
        <v>42</v>
      </c>
      <c r="F52" s="6" t="s">
        <v>80</v>
      </c>
      <c r="G52" s="6" t="s">
        <v>40</v>
      </c>
      <c r="H52" s="6" t="s">
        <v>43</v>
      </c>
      <c r="I52" s="1">
        <f>VLOOKUP($H52,$H$210:$I$235,2,0)</f>
        <v>21</v>
      </c>
    </row>
    <row r="53" spans="1:9">
      <c r="A53" s="5">
        <v>40974</v>
      </c>
      <c r="B53" s="40"/>
      <c r="C53" s="40">
        <v>-25</v>
      </c>
      <c r="D53" s="38">
        <f t="shared" si="0"/>
        <v>15791.380000000005</v>
      </c>
      <c r="E53" s="6" t="s">
        <v>256</v>
      </c>
      <c r="F53" s="6" t="s">
        <v>257</v>
      </c>
      <c r="G53" s="6" t="s">
        <v>258</v>
      </c>
      <c r="H53" s="6" t="s">
        <v>259</v>
      </c>
      <c r="I53" s="1">
        <f>VLOOKUP($H53,$H$210:$I$235,2,0)</f>
        <v>4</v>
      </c>
    </row>
    <row r="54" spans="1:9">
      <c r="A54" s="5">
        <v>40976</v>
      </c>
      <c r="B54" s="38">
        <v>100</v>
      </c>
      <c r="C54" s="38"/>
      <c r="D54" s="38">
        <f t="shared" si="0"/>
        <v>15891.380000000005</v>
      </c>
      <c r="E54" s="6" t="s">
        <v>242</v>
      </c>
      <c r="F54" s="6" t="s">
        <v>243</v>
      </c>
      <c r="G54" s="6" t="s">
        <v>238</v>
      </c>
      <c r="H54" s="6" t="s">
        <v>244</v>
      </c>
      <c r="I54" s="1">
        <f>VLOOKUP($H54,$H$210:$I$235,2,0)</f>
        <v>16</v>
      </c>
    </row>
    <row r="55" spans="1:9">
      <c r="A55" s="5">
        <v>40976</v>
      </c>
      <c r="B55" s="38"/>
      <c r="C55" s="38">
        <v>-3.2</v>
      </c>
      <c r="D55" s="38">
        <f t="shared" si="0"/>
        <v>15888.180000000004</v>
      </c>
      <c r="E55" s="6" t="s">
        <v>236</v>
      </c>
      <c r="F55" s="6" t="s">
        <v>237</v>
      </c>
      <c r="G55" s="6" t="s">
        <v>238</v>
      </c>
      <c r="H55" s="6" t="s">
        <v>239</v>
      </c>
      <c r="I55" s="1">
        <f>VLOOKUP($H55,$H$210:$I$235,2,0)</f>
        <v>4</v>
      </c>
    </row>
    <row r="56" spans="1:9">
      <c r="A56" s="5">
        <v>40976</v>
      </c>
      <c r="B56" s="38">
        <v>100</v>
      </c>
      <c r="C56" s="38"/>
      <c r="D56" s="38">
        <f t="shared" si="0"/>
        <v>15988.180000000004</v>
      </c>
      <c r="E56" s="6" t="s">
        <v>245</v>
      </c>
      <c r="F56" s="6" t="s">
        <v>240</v>
      </c>
      <c r="G56" s="6" t="s">
        <v>238</v>
      </c>
      <c r="H56" s="6" t="s">
        <v>241</v>
      </c>
      <c r="I56" s="1">
        <f>VLOOKUP($H56,$H$210:$I$235,2,0)</f>
        <v>6</v>
      </c>
    </row>
    <row r="57" spans="1:9">
      <c r="A57" s="5">
        <v>40976</v>
      </c>
      <c r="B57" s="40"/>
      <c r="C57" s="40">
        <v>-3.2</v>
      </c>
      <c r="D57" s="38">
        <f t="shared" si="0"/>
        <v>15984.980000000003</v>
      </c>
      <c r="E57" s="6" t="s">
        <v>246</v>
      </c>
      <c r="F57" s="6" t="s">
        <v>247</v>
      </c>
      <c r="G57" s="6" t="s">
        <v>238</v>
      </c>
      <c r="H57" s="6" t="s">
        <v>239</v>
      </c>
      <c r="I57" s="1">
        <f>VLOOKUP($H57,$H$210:$I$235,2,0)</f>
        <v>4</v>
      </c>
    </row>
    <row r="58" spans="1:9">
      <c r="A58" s="5">
        <v>40980</v>
      </c>
      <c r="B58" s="40">
        <v>1300</v>
      </c>
      <c r="C58" s="40"/>
      <c r="D58" s="38">
        <f t="shared" si="0"/>
        <v>17284.980000000003</v>
      </c>
      <c r="E58" s="46" t="s">
        <v>260</v>
      </c>
      <c r="F58" s="6" t="s">
        <v>240</v>
      </c>
      <c r="G58" s="6" t="s">
        <v>261</v>
      </c>
      <c r="H58" s="6" t="s">
        <v>241</v>
      </c>
      <c r="I58" s="1">
        <f>VLOOKUP($H58,$H$210:$I$235,2,0)</f>
        <v>6</v>
      </c>
    </row>
    <row r="59" spans="1:9">
      <c r="A59" s="5">
        <v>40982</v>
      </c>
      <c r="B59" s="38">
        <v>100</v>
      </c>
      <c r="C59" s="38"/>
      <c r="D59" s="38">
        <f t="shared" si="0"/>
        <v>17384.980000000003</v>
      </c>
      <c r="E59" s="6" t="s">
        <v>248</v>
      </c>
      <c r="F59" s="6" t="s">
        <v>243</v>
      </c>
      <c r="G59" s="6" t="s">
        <v>238</v>
      </c>
      <c r="H59" s="6" t="s">
        <v>249</v>
      </c>
      <c r="I59" s="1">
        <f>VLOOKUP($H59,$H$210:$I$235,2,0)</f>
        <v>16</v>
      </c>
    </row>
    <row r="60" spans="1:9">
      <c r="A60" s="5">
        <v>40982</v>
      </c>
      <c r="B60" s="38"/>
      <c r="C60" s="38">
        <v>-3.2</v>
      </c>
      <c r="D60" s="38">
        <f t="shared" si="0"/>
        <v>17381.780000000002</v>
      </c>
      <c r="E60" s="6" t="s">
        <v>246</v>
      </c>
      <c r="F60" s="6" t="s">
        <v>237</v>
      </c>
      <c r="G60" s="6" t="s">
        <v>238</v>
      </c>
      <c r="H60" s="6" t="s">
        <v>250</v>
      </c>
      <c r="I60" s="1">
        <f>VLOOKUP($H60,$H$210:$I$235,2,0)</f>
        <v>4</v>
      </c>
    </row>
    <row r="61" spans="1:9">
      <c r="A61" s="5">
        <v>40983</v>
      </c>
      <c r="B61" s="38">
        <v>150</v>
      </c>
      <c r="C61" s="38"/>
      <c r="D61" s="38">
        <f t="shared" si="0"/>
        <v>17531.780000000002</v>
      </c>
      <c r="E61" s="6" t="s">
        <v>251</v>
      </c>
      <c r="F61" s="6" t="s">
        <v>240</v>
      </c>
      <c r="G61" s="6" t="s">
        <v>238</v>
      </c>
      <c r="H61" s="6" t="s">
        <v>241</v>
      </c>
      <c r="I61" s="1">
        <f>VLOOKUP($H61,$H$210:$I$235,2,0)</f>
        <v>6</v>
      </c>
    </row>
    <row r="62" spans="1:9">
      <c r="A62" s="5">
        <v>40983</v>
      </c>
      <c r="B62" s="38"/>
      <c r="C62" s="38">
        <v>-4.6500000000000004</v>
      </c>
      <c r="D62" s="38">
        <f t="shared" si="0"/>
        <v>17527.13</v>
      </c>
      <c r="E62" s="6" t="s">
        <v>246</v>
      </c>
      <c r="F62" s="6" t="s">
        <v>237</v>
      </c>
      <c r="G62" s="6" t="s">
        <v>238</v>
      </c>
      <c r="H62" s="6" t="s">
        <v>250</v>
      </c>
      <c r="I62" s="1">
        <f>VLOOKUP($H62,$H$210:$I$235,2,0)</f>
        <v>4</v>
      </c>
    </row>
    <row r="63" spans="1:9">
      <c r="A63" s="5">
        <v>40987</v>
      </c>
      <c r="B63" s="38"/>
      <c r="C63" s="38">
        <v>-50</v>
      </c>
      <c r="D63" s="38">
        <f t="shared" si="0"/>
        <v>17477.13</v>
      </c>
      <c r="E63" s="6" t="s">
        <v>252</v>
      </c>
      <c r="F63" s="6" t="s">
        <v>253</v>
      </c>
      <c r="G63" s="6" t="s">
        <v>238</v>
      </c>
      <c r="H63" s="6" t="s">
        <v>241</v>
      </c>
      <c r="I63" s="1">
        <f>VLOOKUP($H63,$H$210:$I$235,2,0)</f>
        <v>6</v>
      </c>
    </row>
    <row r="64" spans="1:9">
      <c r="A64" s="5">
        <v>40987</v>
      </c>
      <c r="B64" s="38">
        <v>1.45</v>
      </c>
      <c r="C64" s="38"/>
      <c r="D64" s="38">
        <f t="shared" si="0"/>
        <v>17478.580000000002</v>
      </c>
      <c r="E64" s="6" t="s">
        <v>254</v>
      </c>
      <c r="F64" s="6" t="s">
        <v>255</v>
      </c>
      <c r="G64" s="6" t="s">
        <v>238</v>
      </c>
      <c r="H64" s="6" t="s">
        <v>239</v>
      </c>
      <c r="I64" s="1">
        <f>VLOOKUP($H64,$H$210:$I$235,2,0)</f>
        <v>4</v>
      </c>
    </row>
    <row r="65" spans="1:9">
      <c r="A65" s="5">
        <v>40991</v>
      </c>
      <c r="B65" s="38">
        <v>100</v>
      </c>
      <c r="C65" s="38"/>
      <c r="D65" s="38">
        <f t="shared" si="0"/>
        <v>17578.580000000002</v>
      </c>
      <c r="E65" s="6" t="s">
        <v>151</v>
      </c>
      <c r="F65" s="6" t="s">
        <v>152</v>
      </c>
      <c r="G65" s="6" t="s">
        <v>153</v>
      </c>
      <c r="H65" s="6" t="s">
        <v>154</v>
      </c>
      <c r="I65" s="1">
        <f>VLOOKUP($H65,$H$210:$I$235,2,0)</f>
        <v>16</v>
      </c>
    </row>
    <row r="66" spans="1:9">
      <c r="A66" s="5">
        <v>40991</v>
      </c>
      <c r="B66" s="38"/>
      <c r="C66" s="38">
        <v>-3.2</v>
      </c>
      <c r="D66" s="38">
        <f t="shared" si="0"/>
        <v>17575.38</v>
      </c>
      <c r="E66" s="6" t="s">
        <v>246</v>
      </c>
      <c r="F66" s="6" t="s">
        <v>237</v>
      </c>
      <c r="G66" s="6" t="s">
        <v>238</v>
      </c>
      <c r="H66" s="6" t="s">
        <v>250</v>
      </c>
      <c r="I66" s="1">
        <f>VLOOKUP($H66,$H$210:$I$235,2,0)</f>
        <v>4</v>
      </c>
    </row>
    <row r="67" spans="1:9">
      <c r="A67" s="5">
        <v>40997</v>
      </c>
      <c r="B67" s="38">
        <v>100</v>
      </c>
      <c r="C67" s="38"/>
      <c r="D67" s="38">
        <f t="shared" si="0"/>
        <v>17675.38</v>
      </c>
      <c r="E67" s="6" t="s">
        <v>204</v>
      </c>
      <c r="F67" s="6" t="s">
        <v>152</v>
      </c>
      <c r="G67" s="6" t="s">
        <v>153</v>
      </c>
      <c r="H67" s="6" t="s">
        <v>152</v>
      </c>
      <c r="I67" s="1">
        <f>VLOOKUP($H67,$H$210:$I$235,2,0)</f>
        <v>16</v>
      </c>
    </row>
    <row r="68" spans="1:9">
      <c r="A68" s="5">
        <v>40997</v>
      </c>
      <c r="B68" s="38"/>
      <c r="C68" s="38">
        <v>-3.2</v>
      </c>
      <c r="D68" s="38">
        <f t="shared" si="0"/>
        <v>17672.18</v>
      </c>
      <c r="E68" s="6" t="s">
        <v>246</v>
      </c>
      <c r="F68" s="6" t="s">
        <v>237</v>
      </c>
      <c r="G68" s="6" t="s">
        <v>238</v>
      </c>
      <c r="H68" s="6" t="s">
        <v>250</v>
      </c>
      <c r="I68" s="1">
        <f>VLOOKUP($H68,$H$210:$I$235,2,0)</f>
        <v>4</v>
      </c>
    </row>
    <row r="69" spans="1:9">
      <c r="A69" s="5">
        <v>40998</v>
      </c>
      <c r="B69" s="38">
        <v>0.1</v>
      </c>
      <c r="C69" s="38"/>
      <c r="D69" s="38">
        <f t="shared" si="0"/>
        <v>17672.28</v>
      </c>
      <c r="E69" s="6" t="s">
        <v>147</v>
      </c>
      <c r="F69" s="6" t="s">
        <v>148</v>
      </c>
      <c r="G69" s="6" t="s">
        <v>149</v>
      </c>
      <c r="H69" s="6" t="s">
        <v>150</v>
      </c>
      <c r="I69" s="1">
        <f>VLOOKUP($H69,$H$210:$I$235,2,0)</f>
        <v>12</v>
      </c>
    </row>
    <row r="70" spans="1:9">
      <c r="A70" s="5"/>
      <c r="B70" s="38"/>
      <c r="C70" s="38"/>
      <c r="D70" s="38">
        <f t="shared" si="0"/>
        <v>17672.28</v>
      </c>
      <c r="E70" s="6"/>
      <c r="F70" s="6"/>
      <c r="G70" s="6"/>
      <c r="H70" s="6"/>
      <c r="I70" s="1">
        <f t="shared" ref="I70:I74" si="1">VLOOKUP($H70,$H$210:$I$235,2,0)</f>
        <v>0</v>
      </c>
    </row>
    <row r="71" spans="1:9">
      <c r="A71" s="5"/>
      <c r="B71" s="38"/>
      <c r="C71" s="38"/>
      <c r="D71" s="38">
        <f t="shared" ref="D71:D87" si="2">D70+B71+C71</f>
        <v>17672.28</v>
      </c>
      <c r="E71" s="6"/>
      <c r="F71" s="6"/>
      <c r="G71" s="6"/>
      <c r="H71" s="6"/>
      <c r="I71" s="1">
        <f t="shared" si="1"/>
        <v>0</v>
      </c>
    </row>
    <row r="72" spans="1:9">
      <c r="A72" s="5"/>
      <c r="B72" s="38"/>
      <c r="C72" s="38"/>
      <c r="D72" s="38">
        <f t="shared" si="2"/>
        <v>17672.28</v>
      </c>
      <c r="E72" s="6"/>
      <c r="F72" s="6"/>
      <c r="G72" s="6"/>
      <c r="H72" s="6"/>
      <c r="I72" s="1">
        <f t="shared" si="1"/>
        <v>0</v>
      </c>
    </row>
    <row r="73" spans="1:9">
      <c r="A73" s="5"/>
      <c r="B73" s="38"/>
      <c r="C73" s="38"/>
      <c r="D73" s="38">
        <f t="shared" si="2"/>
        <v>17672.28</v>
      </c>
      <c r="E73" s="29"/>
      <c r="F73" s="6"/>
      <c r="G73" s="6"/>
      <c r="H73" s="12"/>
      <c r="I73" s="1">
        <f t="shared" si="1"/>
        <v>0</v>
      </c>
    </row>
    <row r="74" spans="1:9">
      <c r="A74" s="5"/>
      <c r="B74" s="38"/>
      <c r="C74" s="38"/>
      <c r="D74" s="38">
        <f t="shared" si="2"/>
        <v>17672.28</v>
      </c>
      <c r="E74" s="6"/>
      <c r="F74" s="6"/>
      <c r="G74" s="6"/>
      <c r="H74" s="6"/>
      <c r="I74" s="1">
        <f t="shared" si="1"/>
        <v>0</v>
      </c>
    </row>
    <row r="75" spans="1:9">
      <c r="A75" s="5"/>
      <c r="B75" s="41"/>
      <c r="C75" s="41"/>
      <c r="D75" s="38">
        <f t="shared" si="2"/>
        <v>17672.28</v>
      </c>
      <c r="E75" s="28"/>
      <c r="F75" s="28"/>
      <c r="G75" s="28"/>
      <c r="H75" s="28"/>
      <c r="I75" s="1">
        <f t="shared" ref="I75:I106" si="3">VLOOKUP($H75,$H$210:$I$235,2,0)</f>
        <v>0</v>
      </c>
    </row>
    <row r="76" spans="1:9">
      <c r="A76" s="5"/>
      <c r="B76" s="41"/>
      <c r="C76" s="41"/>
      <c r="D76" s="38">
        <f t="shared" si="2"/>
        <v>17672.28</v>
      </c>
      <c r="E76" s="28"/>
      <c r="F76" s="28"/>
      <c r="G76" s="28"/>
      <c r="H76" s="28"/>
      <c r="I76" s="1">
        <f t="shared" si="3"/>
        <v>0</v>
      </c>
    </row>
    <row r="77" spans="1:9">
      <c r="A77" s="5"/>
      <c r="B77" s="38"/>
      <c r="C77" s="38"/>
      <c r="D77" s="38">
        <f t="shared" si="2"/>
        <v>17672.28</v>
      </c>
      <c r="E77" s="29"/>
      <c r="F77" s="6"/>
      <c r="G77" s="6"/>
      <c r="H77" s="6"/>
      <c r="I77" s="1">
        <f t="shared" si="3"/>
        <v>0</v>
      </c>
    </row>
    <row r="78" spans="1:9">
      <c r="A78" s="5"/>
      <c r="B78" s="38"/>
      <c r="C78" s="38"/>
      <c r="D78" s="38">
        <f t="shared" si="2"/>
        <v>17672.28</v>
      </c>
      <c r="E78" s="6"/>
      <c r="F78" s="6"/>
      <c r="G78" s="6"/>
      <c r="H78" s="6"/>
      <c r="I78" s="1">
        <f t="shared" si="3"/>
        <v>0</v>
      </c>
    </row>
    <row r="79" spans="1:9">
      <c r="A79" s="5"/>
      <c r="B79" s="41"/>
      <c r="C79" s="41"/>
      <c r="D79" s="38">
        <f t="shared" si="2"/>
        <v>17672.28</v>
      </c>
      <c r="E79" s="28"/>
      <c r="F79" s="28"/>
      <c r="G79" s="28"/>
      <c r="H79" s="28"/>
      <c r="I79" s="1">
        <f t="shared" si="3"/>
        <v>0</v>
      </c>
    </row>
    <row r="80" spans="1:9">
      <c r="A80" s="5"/>
      <c r="B80" s="41"/>
      <c r="C80" s="41"/>
      <c r="D80" s="38">
        <f t="shared" si="2"/>
        <v>17672.28</v>
      </c>
      <c r="E80" s="28"/>
      <c r="F80" s="28"/>
      <c r="G80" s="28"/>
      <c r="H80" s="28"/>
      <c r="I80" s="1">
        <f t="shared" si="3"/>
        <v>0</v>
      </c>
    </row>
    <row r="81" spans="1:9">
      <c r="A81" s="5"/>
      <c r="B81" s="41"/>
      <c r="C81" s="41"/>
      <c r="D81" s="38">
        <f t="shared" si="2"/>
        <v>17672.28</v>
      </c>
      <c r="E81" s="28"/>
      <c r="F81" s="28"/>
      <c r="G81" s="28"/>
      <c r="H81" s="28"/>
      <c r="I81" s="1">
        <f t="shared" si="3"/>
        <v>0</v>
      </c>
    </row>
    <row r="82" spans="1:9">
      <c r="A82" s="5"/>
      <c r="B82" s="41"/>
      <c r="C82" s="41"/>
      <c r="D82" s="38">
        <f t="shared" si="2"/>
        <v>17672.28</v>
      </c>
      <c r="E82" s="28"/>
      <c r="F82" s="28"/>
      <c r="G82" s="28"/>
      <c r="H82" s="28"/>
      <c r="I82" s="1">
        <f t="shared" si="3"/>
        <v>0</v>
      </c>
    </row>
    <row r="83" spans="1:9">
      <c r="A83" s="5"/>
      <c r="B83" s="41"/>
      <c r="C83" s="41"/>
      <c r="D83" s="38">
        <f t="shared" si="2"/>
        <v>17672.28</v>
      </c>
      <c r="E83" s="28"/>
      <c r="F83" s="28"/>
      <c r="G83" s="28"/>
      <c r="H83" s="28"/>
      <c r="I83" s="1">
        <f t="shared" si="3"/>
        <v>0</v>
      </c>
    </row>
    <row r="84" spans="1:9">
      <c r="A84" s="5"/>
      <c r="B84" s="41"/>
      <c r="C84" s="41"/>
      <c r="D84" s="38">
        <f t="shared" si="2"/>
        <v>17672.28</v>
      </c>
      <c r="E84" s="28"/>
      <c r="F84" s="28"/>
      <c r="G84" s="28"/>
      <c r="H84" s="28"/>
      <c r="I84" s="1">
        <f t="shared" si="3"/>
        <v>0</v>
      </c>
    </row>
    <row r="85" spans="1:9">
      <c r="A85" s="5"/>
      <c r="B85" s="40"/>
      <c r="C85" s="40"/>
      <c r="D85" s="38">
        <f t="shared" si="2"/>
        <v>17672.28</v>
      </c>
      <c r="E85" s="6"/>
      <c r="F85" s="6"/>
      <c r="G85" s="6"/>
      <c r="H85" s="6"/>
      <c r="I85" s="1">
        <f t="shared" si="3"/>
        <v>0</v>
      </c>
    </row>
    <row r="86" spans="1:9">
      <c r="A86" s="5"/>
      <c r="B86" s="38"/>
      <c r="C86" s="38"/>
      <c r="D86" s="38">
        <f t="shared" si="2"/>
        <v>17672.28</v>
      </c>
      <c r="E86" s="29"/>
      <c r="F86" s="6"/>
      <c r="G86" s="6"/>
      <c r="H86" s="12"/>
      <c r="I86" s="1">
        <f t="shared" si="3"/>
        <v>0</v>
      </c>
    </row>
    <row r="87" spans="1:9">
      <c r="A87" s="5"/>
      <c r="B87" s="38"/>
      <c r="C87" s="38"/>
      <c r="D87" s="38">
        <f t="shared" si="2"/>
        <v>17672.28</v>
      </c>
      <c r="E87" s="6"/>
      <c r="F87" s="6"/>
      <c r="G87" s="6"/>
      <c r="H87" s="6"/>
      <c r="I87" s="1">
        <f t="shared" si="3"/>
        <v>0</v>
      </c>
    </row>
    <row r="88" spans="1:9">
      <c r="A88" s="5"/>
      <c r="B88" s="38"/>
      <c r="C88" s="38"/>
      <c r="D88" s="38"/>
      <c r="E88" s="29"/>
      <c r="F88" s="6"/>
      <c r="G88" s="6"/>
      <c r="H88" s="12"/>
      <c r="I88" s="1">
        <f t="shared" si="3"/>
        <v>0</v>
      </c>
    </row>
    <row r="89" spans="1:9">
      <c r="A89" s="5"/>
      <c r="B89" s="38"/>
      <c r="C89" s="38"/>
      <c r="D89" s="38"/>
      <c r="E89" s="6"/>
      <c r="F89" s="6"/>
      <c r="G89" s="6"/>
      <c r="H89" s="6"/>
      <c r="I89" s="1">
        <f t="shared" si="3"/>
        <v>0</v>
      </c>
    </row>
    <row r="90" spans="1:9">
      <c r="A90" s="5"/>
      <c r="B90" s="41"/>
      <c r="C90" s="41"/>
      <c r="D90" s="38"/>
      <c r="E90" s="28"/>
      <c r="F90" s="28"/>
      <c r="G90" s="28"/>
      <c r="H90" s="28"/>
      <c r="I90" s="1">
        <f t="shared" si="3"/>
        <v>0</v>
      </c>
    </row>
    <row r="91" spans="1:9">
      <c r="A91" s="5"/>
      <c r="B91" s="41"/>
      <c r="C91" s="41"/>
      <c r="D91" s="38"/>
      <c r="E91" s="28"/>
      <c r="F91" s="28"/>
      <c r="G91" s="28"/>
      <c r="H91" s="28"/>
      <c r="I91" s="1">
        <f t="shared" si="3"/>
        <v>0</v>
      </c>
    </row>
    <row r="92" spans="1:9">
      <c r="A92" s="5"/>
      <c r="B92" s="38"/>
      <c r="C92" s="38"/>
      <c r="D92" s="38"/>
      <c r="E92" s="6"/>
      <c r="F92" s="28"/>
      <c r="G92" s="28"/>
      <c r="H92" s="28"/>
      <c r="I92" s="1">
        <f t="shared" si="3"/>
        <v>0</v>
      </c>
    </row>
    <row r="93" spans="1:9">
      <c r="A93" s="5"/>
      <c r="B93" s="38"/>
      <c r="C93" s="38"/>
      <c r="D93" s="38"/>
      <c r="E93" s="28"/>
      <c r="F93" s="28"/>
      <c r="G93" s="28"/>
      <c r="H93" s="28"/>
      <c r="I93" s="1">
        <f t="shared" si="3"/>
        <v>0</v>
      </c>
    </row>
    <row r="94" spans="1:9">
      <c r="A94" s="5"/>
      <c r="B94" s="38"/>
      <c r="C94" s="38"/>
      <c r="D94" s="38"/>
      <c r="E94" s="6"/>
      <c r="F94" s="28"/>
      <c r="G94" s="28"/>
      <c r="H94" s="28"/>
      <c r="I94" s="1">
        <f t="shared" si="3"/>
        <v>0</v>
      </c>
    </row>
    <row r="95" spans="1:9">
      <c r="A95" s="5"/>
      <c r="B95" s="38"/>
      <c r="C95" s="38"/>
      <c r="D95" s="38"/>
      <c r="E95" s="28"/>
      <c r="F95" s="28"/>
      <c r="G95" s="28"/>
      <c r="H95" s="28"/>
      <c r="I95" s="1">
        <f t="shared" si="3"/>
        <v>0</v>
      </c>
    </row>
    <row r="96" spans="1:9">
      <c r="A96" s="5"/>
      <c r="B96" s="38"/>
      <c r="C96" s="38"/>
      <c r="D96" s="38"/>
      <c r="E96" s="6"/>
      <c r="F96" s="6"/>
      <c r="G96" s="6"/>
      <c r="H96" s="6"/>
      <c r="I96" s="1">
        <f t="shared" si="3"/>
        <v>0</v>
      </c>
    </row>
    <row r="97" spans="1:9">
      <c r="A97" s="5"/>
      <c r="B97" s="38"/>
      <c r="C97" s="38"/>
      <c r="D97" s="38"/>
      <c r="E97" s="28"/>
      <c r="F97" s="28"/>
      <c r="G97" s="28"/>
      <c r="H97" s="28"/>
      <c r="I97" s="1">
        <f t="shared" si="3"/>
        <v>0</v>
      </c>
    </row>
    <row r="98" spans="1:9">
      <c r="A98" s="5"/>
      <c r="B98" s="38"/>
      <c r="C98" s="38"/>
      <c r="D98" s="38"/>
      <c r="E98" s="6"/>
      <c r="F98" s="6"/>
      <c r="G98" s="6"/>
      <c r="H98" s="6"/>
      <c r="I98" s="1">
        <f t="shared" si="3"/>
        <v>0</v>
      </c>
    </row>
    <row r="99" spans="1:9">
      <c r="A99" s="5"/>
      <c r="B99" s="38"/>
      <c r="C99" s="38"/>
      <c r="D99" s="38"/>
      <c r="E99" s="28"/>
      <c r="F99" s="28"/>
      <c r="G99" s="28"/>
      <c r="H99" s="28"/>
      <c r="I99" s="1">
        <f t="shared" si="3"/>
        <v>0</v>
      </c>
    </row>
    <row r="100" spans="1:9">
      <c r="A100" s="5"/>
      <c r="B100" s="40"/>
      <c r="C100" s="40"/>
      <c r="D100" s="38"/>
      <c r="E100" s="6"/>
      <c r="F100" s="6"/>
      <c r="G100" s="6"/>
      <c r="H100" s="6"/>
      <c r="I100" s="1">
        <f t="shared" si="3"/>
        <v>0</v>
      </c>
    </row>
    <row r="101" spans="1:9">
      <c r="A101" s="5"/>
      <c r="B101" s="38"/>
      <c r="C101" s="38"/>
      <c r="D101" s="38"/>
      <c r="E101" s="6"/>
      <c r="F101" s="6"/>
      <c r="G101" s="6"/>
      <c r="H101" s="6"/>
      <c r="I101" s="1">
        <f t="shared" si="3"/>
        <v>0</v>
      </c>
    </row>
    <row r="102" spans="1:9">
      <c r="A102" s="5"/>
      <c r="B102" s="38"/>
      <c r="C102" s="38"/>
      <c r="D102" s="38"/>
      <c r="E102" s="28"/>
      <c r="F102" s="28"/>
      <c r="G102" s="28"/>
      <c r="H102" s="28"/>
      <c r="I102" s="1">
        <f t="shared" si="3"/>
        <v>0</v>
      </c>
    </row>
    <row r="103" spans="1:9">
      <c r="A103" s="5"/>
      <c r="B103" s="40"/>
      <c r="C103" s="40"/>
      <c r="D103" s="38"/>
      <c r="E103" s="28"/>
      <c r="F103" s="28"/>
      <c r="G103" s="28"/>
      <c r="H103" s="28"/>
      <c r="I103" s="1">
        <f t="shared" si="3"/>
        <v>0</v>
      </c>
    </row>
    <row r="104" spans="1:9">
      <c r="A104" s="5"/>
      <c r="B104" s="38"/>
      <c r="C104" s="38"/>
      <c r="D104" s="38"/>
      <c r="E104" s="6"/>
      <c r="F104" s="6"/>
      <c r="G104" s="6"/>
      <c r="H104" s="6"/>
      <c r="I104" s="1">
        <f t="shared" si="3"/>
        <v>0</v>
      </c>
    </row>
    <row r="105" spans="1:9">
      <c r="A105" s="5"/>
      <c r="B105" s="38"/>
      <c r="C105" s="38"/>
      <c r="D105" s="38"/>
      <c r="E105" s="6"/>
      <c r="F105" s="6"/>
      <c r="G105" s="6"/>
      <c r="H105" s="6"/>
      <c r="I105" s="1">
        <f t="shared" si="3"/>
        <v>0</v>
      </c>
    </row>
    <row r="106" spans="1:9">
      <c r="A106" s="5"/>
      <c r="B106" s="38"/>
      <c r="C106" s="38"/>
      <c r="D106" s="38"/>
      <c r="E106" s="6"/>
      <c r="F106" s="6"/>
      <c r="G106" s="6"/>
      <c r="H106" s="6"/>
      <c r="I106" s="1">
        <f t="shared" si="3"/>
        <v>0</v>
      </c>
    </row>
    <row r="107" spans="1:9">
      <c r="A107" s="5"/>
      <c r="B107" s="38"/>
      <c r="C107" s="38"/>
      <c r="D107" s="38"/>
      <c r="E107" s="6"/>
      <c r="F107" s="6"/>
      <c r="G107" s="6"/>
      <c r="H107" s="6"/>
      <c r="I107" s="1">
        <f t="shared" ref="I107:I138" si="4">VLOOKUP($H107,$H$210:$I$235,2,0)</f>
        <v>0</v>
      </c>
    </row>
    <row r="108" spans="1:9">
      <c r="A108" s="5"/>
      <c r="B108" s="40"/>
      <c r="C108" s="40"/>
      <c r="D108" s="38"/>
      <c r="E108" s="6"/>
      <c r="F108" s="6"/>
      <c r="G108" s="6"/>
      <c r="H108" s="6"/>
      <c r="I108" s="1">
        <f t="shared" si="4"/>
        <v>0</v>
      </c>
    </row>
    <row r="109" spans="1:9">
      <c r="A109" s="5"/>
      <c r="B109" s="40"/>
      <c r="C109" s="40"/>
      <c r="D109" s="38"/>
      <c r="E109" s="6"/>
      <c r="F109" s="6"/>
      <c r="G109" s="6"/>
      <c r="H109" s="6"/>
      <c r="I109" s="1">
        <f t="shared" si="4"/>
        <v>0</v>
      </c>
    </row>
    <row r="110" spans="1:9">
      <c r="A110" s="5"/>
      <c r="B110" s="38"/>
      <c r="C110" s="38"/>
      <c r="D110" s="38"/>
      <c r="E110" s="6"/>
      <c r="F110" s="6"/>
      <c r="G110" s="6"/>
      <c r="H110" s="6"/>
      <c r="I110" s="1">
        <f t="shared" si="4"/>
        <v>0</v>
      </c>
    </row>
    <row r="111" spans="1:9">
      <c r="A111" s="5"/>
      <c r="B111" s="38"/>
      <c r="C111" s="38"/>
      <c r="D111" s="38"/>
      <c r="E111" s="6"/>
      <c r="F111" s="6"/>
      <c r="G111" s="6"/>
      <c r="H111" s="6"/>
      <c r="I111" s="1">
        <f t="shared" si="4"/>
        <v>0</v>
      </c>
    </row>
    <row r="112" spans="1:9">
      <c r="A112" s="5"/>
      <c r="B112" s="40"/>
      <c r="C112" s="40"/>
      <c r="D112" s="38"/>
      <c r="E112" s="6"/>
      <c r="F112" s="6"/>
      <c r="G112" s="6"/>
      <c r="H112" s="6"/>
      <c r="I112" s="1">
        <f t="shared" si="4"/>
        <v>0</v>
      </c>
    </row>
    <row r="113" spans="1:9">
      <c r="A113" s="5"/>
      <c r="B113" s="40"/>
      <c r="C113" s="40"/>
      <c r="D113" s="38"/>
      <c r="E113" s="6"/>
      <c r="F113" s="6"/>
      <c r="G113" s="6"/>
      <c r="H113" s="6"/>
      <c r="I113" s="1">
        <f t="shared" si="4"/>
        <v>0</v>
      </c>
    </row>
    <row r="114" spans="1:9">
      <c r="A114" s="5"/>
      <c r="B114" s="40"/>
      <c r="C114" s="40"/>
      <c r="D114" s="38"/>
      <c r="E114" s="6"/>
      <c r="F114" s="6"/>
      <c r="G114" s="6"/>
      <c r="H114" s="6"/>
      <c r="I114" s="1">
        <f t="shared" si="4"/>
        <v>0</v>
      </c>
    </row>
    <row r="115" spans="1:9">
      <c r="A115" s="5"/>
      <c r="B115" s="38"/>
      <c r="C115" s="38"/>
      <c r="D115" s="38"/>
      <c r="E115" s="6"/>
      <c r="F115" s="6"/>
      <c r="G115" s="6"/>
      <c r="H115" s="6"/>
      <c r="I115" s="1">
        <f t="shared" si="4"/>
        <v>0</v>
      </c>
    </row>
    <row r="116" spans="1:9">
      <c r="A116" s="5"/>
      <c r="B116" s="38"/>
      <c r="C116" s="38"/>
      <c r="D116" s="38"/>
      <c r="E116" s="6"/>
      <c r="F116" s="6"/>
      <c r="G116" s="6"/>
      <c r="H116" s="6"/>
      <c r="I116" s="1">
        <f t="shared" si="4"/>
        <v>0</v>
      </c>
    </row>
    <row r="117" spans="1:9">
      <c r="A117" s="5"/>
      <c r="B117" s="38"/>
      <c r="C117" s="38"/>
      <c r="D117" s="38"/>
      <c r="E117" s="6"/>
      <c r="F117" s="6"/>
      <c r="G117" s="6"/>
      <c r="H117" s="6"/>
      <c r="I117" s="1">
        <f t="shared" si="4"/>
        <v>0</v>
      </c>
    </row>
    <row r="118" spans="1:9">
      <c r="A118" s="5"/>
      <c r="B118" s="38"/>
      <c r="C118" s="38"/>
      <c r="D118" s="38"/>
      <c r="E118" s="6"/>
      <c r="F118" s="6"/>
      <c r="G118" s="6"/>
      <c r="H118" s="6"/>
      <c r="I118" s="1">
        <f t="shared" si="4"/>
        <v>0</v>
      </c>
    </row>
    <row r="119" spans="1:9">
      <c r="A119" s="5"/>
      <c r="B119" s="38"/>
      <c r="C119" s="38"/>
      <c r="D119" s="38"/>
      <c r="E119" s="6"/>
      <c r="F119" s="6"/>
      <c r="G119" s="6"/>
      <c r="H119" s="6"/>
      <c r="I119" s="1">
        <f t="shared" si="4"/>
        <v>0</v>
      </c>
    </row>
    <row r="120" spans="1:9">
      <c r="A120" s="5"/>
      <c r="B120" s="38"/>
      <c r="C120" s="38"/>
      <c r="D120" s="38"/>
      <c r="E120" s="6"/>
      <c r="F120" s="6"/>
      <c r="G120" s="6"/>
      <c r="H120" s="6"/>
      <c r="I120" s="1">
        <f t="shared" si="4"/>
        <v>0</v>
      </c>
    </row>
    <row r="121" spans="1:9">
      <c r="A121" s="5"/>
      <c r="B121" s="38"/>
      <c r="C121" s="38"/>
      <c r="D121" s="38"/>
      <c r="E121" s="6"/>
      <c r="F121" s="6"/>
      <c r="G121" s="6"/>
      <c r="H121" s="6"/>
      <c r="I121" s="1">
        <f t="shared" si="4"/>
        <v>0</v>
      </c>
    </row>
    <row r="122" spans="1:9">
      <c r="A122" s="5"/>
      <c r="B122" s="38"/>
      <c r="C122" s="38"/>
      <c r="D122" s="38"/>
      <c r="E122" s="6"/>
      <c r="F122" s="6"/>
      <c r="G122" s="6"/>
      <c r="H122" s="6"/>
      <c r="I122" s="1">
        <f t="shared" si="4"/>
        <v>0</v>
      </c>
    </row>
    <row r="123" spans="1:9">
      <c r="A123" s="5"/>
      <c r="B123" s="38"/>
      <c r="C123" s="38"/>
      <c r="D123" s="38"/>
      <c r="E123" s="6"/>
      <c r="F123" s="6"/>
      <c r="G123" s="6"/>
      <c r="H123" s="6"/>
      <c r="I123" s="1">
        <f t="shared" si="4"/>
        <v>0</v>
      </c>
    </row>
    <row r="124" spans="1:9">
      <c r="A124" s="5"/>
      <c r="B124" s="38"/>
      <c r="C124" s="38"/>
      <c r="D124" s="38"/>
      <c r="E124" s="6"/>
      <c r="F124" s="6"/>
      <c r="G124" s="6"/>
      <c r="H124" s="6"/>
      <c r="I124" s="1">
        <f t="shared" si="4"/>
        <v>0</v>
      </c>
    </row>
    <row r="125" spans="1:9">
      <c r="A125" s="5"/>
      <c r="B125" s="38"/>
      <c r="C125" s="38"/>
      <c r="D125" s="38"/>
      <c r="E125" s="6"/>
      <c r="F125" s="6"/>
      <c r="G125" s="6"/>
      <c r="H125" s="6"/>
      <c r="I125" s="1">
        <f t="shared" si="4"/>
        <v>0</v>
      </c>
    </row>
    <row r="126" spans="1:9">
      <c r="A126" s="5"/>
      <c r="B126" s="38"/>
      <c r="C126" s="38"/>
      <c r="D126" s="38"/>
      <c r="E126" s="6"/>
      <c r="F126" s="6"/>
      <c r="G126" s="6"/>
      <c r="H126" s="6"/>
      <c r="I126" s="1">
        <f t="shared" si="4"/>
        <v>0</v>
      </c>
    </row>
    <row r="127" spans="1:9">
      <c r="A127" s="5"/>
      <c r="B127" s="40"/>
      <c r="C127" s="40"/>
      <c r="D127" s="38"/>
      <c r="E127" s="6"/>
      <c r="F127" s="6"/>
      <c r="G127" s="6"/>
      <c r="H127" s="6"/>
      <c r="I127" s="1">
        <f t="shared" si="4"/>
        <v>0</v>
      </c>
    </row>
    <row r="128" spans="1:9">
      <c r="A128" s="5"/>
      <c r="B128" s="38"/>
      <c r="C128" s="38"/>
      <c r="D128" s="38"/>
      <c r="E128" s="6"/>
      <c r="F128" s="6"/>
      <c r="G128" s="6"/>
      <c r="H128" s="6"/>
      <c r="I128" s="1">
        <f t="shared" si="4"/>
        <v>0</v>
      </c>
    </row>
    <row r="129" spans="1:9">
      <c r="A129" s="5"/>
      <c r="B129" s="38"/>
      <c r="C129" s="38"/>
      <c r="D129" s="38"/>
      <c r="E129" s="6"/>
      <c r="F129" s="6"/>
      <c r="G129" s="6"/>
      <c r="H129" s="6"/>
      <c r="I129" s="1">
        <f t="shared" si="4"/>
        <v>0</v>
      </c>
    </row>
    <row r="130" spans="1:9">
      <c r="A130" s="5"/>
      <c r="B130" s="40"/>
      <c r="C130" s="40"/>
      <c r="D130" s="38"/>
      <c r="E130" s="6"/>
      <c r="F130" s="6"/>
      <c r="G130" s="6"/>
      <c r="H130" s="6"/>
      <c r="I130" s="1">
        <f t="shared" si="4"/>
        <v>0</v>
      </c>
    </row>
    <row r="131" spans="1:9">
      <c r="A131" s="5"/>
      <c r="B131" s="38"/>
      <c r="C131" s="38"/>
      <c r="D131" s="38"/>
      <c r="E131" s="6"/>
      <c r="F131" s="6"/>
      <c r="G131" s="6"/>
      <c r="H131" s="6"/>
      <c r="I131" s="1">
        <f t="shared" si="4"/>
        <v>0</v>
      </c>
    </row>
    <row r="132" spans="1:9">
      <c r="A132" s="5"/>
      <c r="B132" s="38"/>
      <c r="C132" s="38"/>
      <c r="D132" s="38"/>
      <c r="E132" s="6"/>
      <c r="F132" s="6"/>
      <c r="G132" s="6"/>
      <c r="H132" s="6"/>
      <c r="I132" s="1">
        <f t="shared" si="4"/>
        <v>0</v>
      </c>
    </row>
    <row r="133" spans="1:9">
      <c r="A133" s="5"/>
      <c r="B133" s="38"/>
      <c r="C133" s="38"/>
      <c r="D133" s="38"/>
      <c r="E133" s="6"/>
      <c r="F133" s="6"/>
      <c r="G133" s="6"/>
      <c r="H133" s="6"/>
      <c r="I133" s="1">
        <f t="shared" si="4"/>
        <v>0</v>
      </c>
    </row>
    <row r="134" spans="1:9">
      <c r="A134" s="5"/>
      <c r="B134" s="38"/>
      <c r="C134" s="38"/>
      <c r="D134" s="38"/>
      <c r="E134" s="6"/>
      <c r="F134" s="6"/>
      <c r="G134" s="6"/>
      <c r="H134" s="6"/>
      <c r="I134" s="1">
        <f t="shared" si="4"/>
        <v>0</v>
      </c>
    </row>
    <row r="135" spans="1:9">
      <c r="A135" s="5"/>
      <c r="B135" s="38"/>
      <c r="C135" s="38"/>
      <c r="D135" s="38"/>
      <c r="E135" s="6"/>
      <c r="F135" s="6"/>
      <c r="G135" s="6"/>
      <c r="H135" s="6"/>
      <c r="I135" s="1">
        <f t="shared" si="4"/>
        <v>0</v>
      </c>
    </row>
    <row r="136" spans="1:9">
      <c r="A136" s="5"/>
      <c r="B136" s="38"/>
      <c r="C136" s="38"/>
      <c r="D136" s="38"/>
      <c r="E136" s="6"/>
      <c r="F136" s="6"/>
      <c r="G136" s="6"/>
      <c r="H136" s="6"/>
      <c r="I136" s="1">
        <f t="shared" si="4"/>
        <v>0</v>
      </c>
    </row>
    <row r="137" spans="1:9">
      <c r="A137" s="5"/>
      <c r="B137" s="38"/>
      <c r="C137" s="38"/>
      <c r="D137" s="38"/>
      <c r="E137" s="6"/>
      <c r="F137" s="6"/>
      <c r="G137" s="6"/>
      <c r="H137" s="6"/>
      <c r="I137" s="1">
        <f t="shared" si="4"/>
        <v>0</v>
      </c>
    </row>
    <row r="138" spans="1:9">
      <c r="A138" s="5"/>
      <c r="B138" s="38"/>
      <c r="C138" s="38"/>
      <c r="D138" s="38"/>
      <c r="E138" s="6"/>
      <c r="F138" s="6"/>
      <c r="G138" s="6"/>
      <c r="H138" s="6"/>
      <c r="I138" s="1">
        <f t="shared" si="4"/>
        <v>0</v>
      </c>
    </row>
    <row r="139" spans="1:9">
      <c r="A139" s="5"/>
      <c r="B139" s="38"/>
      <c r="C139" s="38"/>
      <c r="D139" s="38"/>
      <c r="E139" s="6"/>
      <c r="F139" s="6"/>
      <c r="G139" s="6"/>
      <c r="H139" s="6"/>
      <c r="I139" s="1">
        <f t="shared" ref="I139:I175" si="5">VLOOKUP($H139,$H$210:$I$235,2,0)</f>
        <v>0</v>
      </c>
    </row>
    <row r="140" spans="1:9">
      <c r="A140" s="5"/>
      <c r="B140" s="38"/>
      <c r="C140" s="38"/>
      <c r="D140" s="38"/>
      <c r="E140" s="6"/>
      <c r="F140" s="6"/>
      <c r="G140" s="6"/>
      <c r="H140" s="6"/>
      <c r="I140" s="1">
        <f t="shared" si="5"/>
        <v>0</v>
      </c>
    </row>
    <row r="141" spans="1:9">
      <c r="A141" s="5"/>
      <c r="B141" s="38"/>
      <c r="C141" s="38"/>
      <c r="D141" s="38"/>
      <c r="E141" s="6"/>
      <c r="F141" s="6"/>
      <c r="G141" s="6"/>
      <c r="H141" s="6"/>
      <c r="I141" s="1">
        <f t="shared" si="5"/>
        <v>0</v>
      </c>
    </row>
    <row r="142" spans="1:9">
      <c r="A142" s="5"/>
      <c r="B142" s="38"/>
      <c r="C142" s="38"/>
      <c r="D142" s="38"/>
      <c r="E142" s="6"/>
      <c r="F142" s="6"/>
      <c r="G142" s="6"/>
      <c r="H142" s="6"/>
      <c r="I142" s="1">
        <f t="shared" si="5"/>
        <v>0</v>
      </c>
    </row>
    <row r="143" spans="1:9">
      <c r="A143" s="5"/>
      <c r="B143" s="38"/>
      <c r="C143" s="38"/>
      <c r="D143" s="38"/>
      <c r="E143" s="6"/>
      <c r="F143" s="6"/>
      <c r="G143" s="6"/>
      <c r="H143" s="6"/>
      <c r="I143" s="1">
        <f t="shared" si="5"/>
        <v>0</v>
      </c>
    </row>
    <row r="144" spans="1:9">
      <c r="A144" s="5"/>
      <c r="B144" s="40"/>
      <c r="C144" s="40"/>
      <c r="D144" s="38"/>
      <c r="E144" s="6"/>
      <c r="F144" s="6"/>
      <c r="G144" s="6"/>
      <c r="H144" s="6"/>
      <c r="I144" s="1">
        <f t="shared" si="5"/>
        <v>0</v>
      </c>
    </row>
    <row r="145" spans="1:9">
      <c r="A145" s="5"/>
      <c r="B145" s="38"/>
      <c r="C145" s="38"/>
      <c r="D145" s="38"/>
      <c r="E145" s="6"/>
      <c r="F145" s="6"/>
      <c r="G145" s="6"/>
      <c r="H145" s="6"/>
      <c r="I145" s="1">
        <f t="shared" si="5"/>
        <v>0</v>
      </c>
    </row>
    <row r="146" spans="1:9">
      <c r="A146" s="30"/>
      <c r="B146" s="38"/>
      <c r="C146" s="38"/>
      <c r="D146" s="38"/>
      <c r="E146" s="6"/>
      <c r="F146" s="6"/>
      <c r="G146" s="6"/>
      <c r="H146" s="6"/>
      <c r="I146" s="1">
        <f t="shared" si="5"/>
        <v>0</v>
      </c>
    </row>
    <row r="147" spans="1:9">
      <c r="A147" s="5"/>
      <c r="B147" s="38"/>
      <c r="C147" s="38"/>
      <c r="D147" s="38"/>
      <c r="E147" s="6"/>
      <c r="F147" s="6"/>
      <c r="G147" s="6"/>
      <c r="H147" s="6"/>
      <c r="I147" s="1">
        <f t="shared" si="5"/>
        <v>0</v>
      </c>
    </row>
    <row r="148" spans="1:9">
      <c r="A148" s="5"/>
      <c r="B148" s="38"/>
      <c r="C148" s="38"/>
      <c r="D148" s="38"/>
      <c r="E148" s="6"/>
      <c r="F148" s="6"/>
      <c r="G148" s="6"/>
      <c r="H148" s="6"/>
      <c r="I148" s="1">
        <f t="shared" si="5"/>
        <v>0</v>
      </c>
    </row>
    <row r="149" spans="1:9">
      <c r="A149" s="5"/>
      <c r="B149" s="38"/>
      <c r="C149" s="38"/>
      <c r="D149" s="38"/>
      <c r="E149" s="6"/>
      <c r="F149" s="6"/>
      <c r="G149" s="6"/>
      <c r="H149" s="6"/>
      <c r="I149" s="1">
        <f t="shared" si="5"/>
        <v>0</v>
      </c>
    </row>
    <row r="150" spans="1:9">
      <c r="A150" s="5"/>
      <c r="B150" s="38"/>
      <c r="C150" s="38"/>
      <c r="D150" s="38"/>
      <c r="E150" s="6"/>
      <c r="F150" s="6"/>
      <c r="G150" s="6"/>
      <c r="H150" s="6"/>
      <c r="I150" s="1">
        <f t="shared" si="5"/>
        <v>0</v>
      </c>
    </row>
    <row r="151" spans="1:9">
      <c r="A151" s="5"/>
      <c r="B151" s="38"/>
      <c r="C151" s="38"/>
      <c r="D151" s="38"/>
      <c r="E151" s="6"/>
      <c r="F151" s="6"/>
      <c r="G151" s="6"/>
      <c r="H151" s="6"/>
      <c r="I151" s="1">
        <f t="shared" si="5"/>
        <v>0</v>
      </c>
    </row>
    <row r="152" spans="1:9">
      <c r="A152" s="5"/>
      <c r="B152" s="38"/>
      <c r="C152" s="38"/>
      <c r="D152" s="38"/>
      <c r="E152" s="6"/>
      <c r="F152" s="6"/>
      <c r="G152" s="6"/>
      <c r="H152" s="6"/>
      <c r="I152" s="1">
        <f t="shared" si="5"/>
        <v>0</v>
      </c>
    </row>
    <row r="153" spans="1:9">
      <c r="A153" s="5"/>
      <c r="B153" s="38"/>
      <c r="C153" s="38"/>
      <c r="D153" s="38"/>
      <c r="E153" s="6"/>
      <c r="F153" s="6"/>
      <c r="G153" s="6"/>
      <c r="H153" s="6"/>
      <c r="I153" s="1">
        <f t="shared" si="5"/>
        <v>0</v>
      </c>
    </row>
    <row r="154" spans="1:9">
      <c r="A154" s="5"/>
      <c r="B154" s="38"/>
      <c r="C154" s="38"/>
      <c r="D154" s="38"/>
      <c r="E154" s="6"/>
      <c r="F154" s="6"/>
      <c r="G154" s="6"/>
      <c r="H154" s="6"/>
      <c r="I154" s="1">
        <f t="shared" si="5"/>
        <v>0</v>
      </c>
    </row>
    <row r="155" spans="1:9">
      <c r="A155" s="5"/>
      <c r="B155" s="38"/>
      <c r="C155" s="38"/>
      <c r="D155" s="38"/>
      <c r="E155" s="6"/>
      <c r="F155" s="6"/>
      <c r="G155" s="6"/>
      <c r="H155" s="6"/>
      <c r="I155" s="1">
        <f t="shared" si="5"/>
        <v>0</v>
      </c>
    </row>
    <row r="156" spans="1:9">
      <c r="A156" s="5"/>
      <c r="B156" s="38"/>
      <c r="C156" s="38"/>
      <c r="D156" s="38"/>
      <c r="E156" s="6"/>
      <c r="F156" s="6"/>
      <c r="G156" s="6"/>
      <c r="H156" s="6"/>
      <c r="I156" s="1">
        <f t="shared" si="5"/>
        <v>0</v>
      </c>
    </row>
    <row r="157" spans="1:9">
      <c r="A157" s="5"/>
      <c r="B157" s="38"/>
      <c r="C157" s="38"/>
      <c r="D157" s="38"/>
      <c r="E157" s="6"/>
      <c r="F157" s="6"/>
      <c r="G157" s="6"/>
      <c r="H157" s="6"/>
      <c r="I157" s="1">
        <f t="shared" si="5"/>
        <v>0</v>
      </c>
    </row>
    <row r="158" spans="1:9">
      <c r="A158" s="5"/>
      <c r="B158" s="38"/>
      <c r="C158" s="38"/>
      <c r="D158" s="38"/>
      <c r="E158" s="6"/>
      <c r="F158" s="6"/>
      <c r="G158" s="6"/>
      <c r="H158" s="6"/>
      <c r="I158" s="1">
        <f t="shared" si="5"/>
        <v>0</v>
      </c>
    </row>
    <row r="159" spans="1:9">
      <c r="A159" s="5"/>
      <c r="B159" s="40"/>
      <c r="C159" s="40"/>
      <c r="D159" s="38"/>
      <c r="E159" s="6"/>
      <c r="F159" s="6"/>
      <c r="G159" s="6"/>
      <c r="H159" s="6"/>
      <c r="I159" s="1">
        <f t="shared" si="5"/>
        <v>0</v>
      </c>
    </row>
    <row r="160" spans="1:9">
      <c r="A160" s="5"/>
      <c r="B160" s="40"/>
      <c r="C160" s="40"/>
      <c r="D160" s="38"/>
      <c r="E160" s="6"/>
      <c r="F160" s="6"/>
      <c r="G160" s="6"/>
      <c r="H160" s="6"/>
      <c r="I160" s="1">
        <f t="shared" si="5"/>
        <v>0</v>
      </c>
    </row>
    <row r="161" spans="1:9">
      <c r="A161" s="5"/>
      <c r="B161" s="40"/>
      <c r="C161" s="40"/>
      <c r="D161" s="38"/>
      <c r="E161" s="6"/>
      <c r="F161" s="6"/>
      <c r="G161" s="6"/>
      <c r="H161" s="6"/>
      <c r="I161" s="1">
        <f t="shared" si="5"/>
        <v>0</v>
      </c>
    </row>
    <row r="162" spans="1:9">
      <c r="A162" s="5"/>
      <c r="B162" s="40"/>
      <c r="C162" s="40"/>
      <c r="D162" s="38"/>
      <c r="E162" s="6"/>
      <c r="F162" s="6"/>
      <c r="G162" s="6"/>
      <c r="H162" s="6"/>
      <c r="I162" s="1">
        <f t="shared" si="5"/>
        <v>0</v>
      </c>
    </row>
    <row r="163" spans="1:9">
      <c r="A163" s="5"/>
      <c r="B163" s="40"/>
      <c r="C163" s="40"/>
      <c r="D163" s="38"/>
      <c r="E163" s="6"/>
      <c r="F163" s="6"/>
      <c r="G163" s="6"/>
      <c r="H163" s="6"/>
      <c r="I163" s="1">
        <f t="shared" si="5"/>
        <v>0</v>
      </c>
    </row>
    <row r="164" spans="1:9">
      <c r="A164" s="5"/>
      <c r="B164" s="40"/>
      <c r="C164" s="40"/>
      <c r="D164" s="38"/>
      <c r="E164" s="6"/>
      <c r="F164" s="6"/>
      <c r="G164" s="6"/>
      <c r="H164" s="6"/>
      <c r="I164" s="1">
        <f t="shared" si="5"/>
        <v>0</v>
      </c>
    </row>
    <row r="165" spans="1:9">
      <c r="A165" s="5"/>
      <c r="B165" s="40"/>
      <c r="C165" s="40"/>
      <c r="D165" s="38"/>
      <c r="E165" s="6"/>
      <c r="F165" s="6"/>
      <c r="G165" s="6"/>
      <c r="H165" s="6"/>
      <c r="I165" s="1">
        <f t="shared" si="5"/>
        <v>0</v>
      </c>
    </row>
    <row r="166" spans="1:9">
      <c r="A166" s="5"/>
      <c r="B166" s="40"/>
      <c r="C166" s="40"/>
      <c r="D166" s="38"/>
      <c r="E166" s="6"/>
      <c r="F166" s="28"/>
      <c r="G166" s="6"/>
      <c r="H166" s="6"/>
      <c r="I166" s="1">
        <f t="shared" si="5"/>
        <v>0</v>
      </c>
    </row>
    <row r="167" spans="1:9">
      <c r="A167" s="5"/>
      <c r="B167" s="40"/>
      <c r="C167" s="40"/>
      <c r="D167" s="38"/>
      <c r="E167" s="6"/>
      <c r="F167" s="6"/>
      <c r="G167" s="6"/>
      <c r="H167" s="6"/>
      <c r="I167" s="1">
        <f t="shared" si="5"/>
        <v>0</v>
      </c>
    </row>
    <row r="168" spans="1:9">
      <c r="A168" s="5"/>
      <c r="B168" s="38"/>
      <c r="C168" s="38"/>
      <c r="D168" s="38"/>
      <c r="E168" s="6"/>
      <c r="F168" s="6"/>
      <c r="G168" s="6"/>
      <c r="H168" s="6"/>
      <c r="I168" s="1">
        <f t="shared" si="5"/>
        <v>0</v>
      </c>
    </row>
    <row r="169" spans="1:9">
      <c r="A169" s="5"/>
      <c r="B169" s="38"/>
      <c r="C169" s="38"/>
      <c r="D169" s="38"/>
      <c r="E169" s="6"/>
      <c r="F169" s="6"/>
      <c r="G169" s="6"/>
      <c r="H169" s="6"/>
      <c r="I169" s="1">
        <f t="shared" si="5"/>
        <v>0</v>
      </c>
    </row>
    <row r="170" spans="1:9">
      <c r="A170" s="5"/>
      <c r="B170" s="38"/>
      <c r="C170" s="38"/>
      <c r="D170" s="38"/>
      <c r="E170" s="6"/>
      <c r="F170" s="6"/>
      <c r="G170" s="6"/>
      <c r="H170" s="6"/>
      <c r="I170" s="1">
        <f t="shared" si="5"/>
        <v>0</v>
      </c>
    </row>
    <row r="171" spans="1:9">
      <c r="A171" s="5"/>
      <c r="B171" s="38"/>
      <c r="C171" s="38"/>
      <c r="D171" s="38"/>
      <c r="E171" s="6"/>
      <c r="F171" s="6"/>
      <c r="G171" s="6"/>
      <c r="H171" s="6"/>
      <c r="I171" s="1">
        <f t="shared" si="5"/>
        <v>0</v>
      </c>
    </row>
    <row r="172" spans="1:9">
      <c r="A172" s="5"/>
      <c r="B172" s="38"/>
      <c r="C172" s="38"/>
      <c r="D172" s="38"/>
      <c r="E172" s="6"/>
      <c r="F172" s="6"/>
      <c r="G172" s="6"/>
      <c r="H172" s="6"/>
      <c r="I172" s="1">
        <f t="shared" si="5"/>
        <v>0</v>
      </c>
    </row>
    <row r="173" spans="1:9">
      <c r="A173" s="5"/>
      <c r="B173" s="38"/>
      <c r="C173" s="38"/>
      <c r="D173" s="38"/>
      <c r="E173" s="6"/>
      <c r="F173" s="6"/>
      <c r="G173" s="6"/>
      <c r="H173" s="6"/>
      <c r="I173" s="1">
        <f t="shared" si="5"/>
        <v>0</v>
      </c>
    </row>
    <row r="174" spans="1:9">
      <c r="A174" s="5"/>
      <c r="B174" s="40"/>
      <c r="C174" s="40"/>
      <c r="D174" s="38"/>
      <c r="E174" s="6"/>
      <c r="F174" s="6"/>
      <c r="G174" s="6"/>
      <c r="H174" s="6"/>
      <c r="I174" s="1">
        <f t="shared" si="5"/>
        <v>0</v>
      </c>
    </row>
    <row r="175" spans="1:9">
      <c r="A175" s="5"/>
      <c r="B175" s="38"/>
      <c r="C175" s="38"/>
      <c r="D175" s="38"/>
      <c r="E175" s="6"/>
      <c r="F175" s="6"/>
      <c r="G175" s="6"/>
      <c r="H175" s="6"/>
      <c r="I175" s="1">
        <f t="shared" si="5"/>
        <v>0</v>
      </c>
    </row>
    <row r="176" spans="1:9">
      <c r="A176" s="5"/>
      <c r="B176" s="38"/>
      <c r="C176" s="38"/>
      <c r="D176" s="38"/>
      <c r="E176" s="6"/>
      <c r="F176" s="6"/>
      <c r="G176" s="6"/>
      <c r="H176" s="6"/>
      <c r="I176" s="1">
        <f t="shared" ref="I176:I200" si="6">VLOOKUP($H176,$H$210:$I$235,2,0)</f>
        <v>0</v>
      </c>
    </row>
    <row r="177" spans="1:9">
      <c r="A177" s="5"/>
      <c r="B177" s="38"/>
      <c r="C177" s="38"/>
      <c r="D177" s="38"/>
      <c r="E177" s="6"/>
      <c r="F177" s="6"/>
      <c r="G177" s="6"/>
      <c r="H177" s="6"/>
      <c r="I177" s="1">
        <f t="shared" si="6"/>
        <v>0</v>
      </c>
    </row>
    <row r="178" spans="1:9">
      <c r="A178" s="5"/>
      <c r="B178" s="38"/>
      <c r="C178" s="38"/>
      <c r="D178" s="38"/>
      <c r="E178" s="6"/>
      <c r="F178" s="6"/>
      <c r="G178" s="6"/>
      <c r="H178" s="6"/>
      <c r="I178" s="1">
        <f t="shared" si="6"/>
        <v>0</v>
      </c>
    </row>
    <row r="179" spans="1:9">
      <c r="A179" s="5"/>
      <c r="B179" s="40"/>
      <c r="C179" s="40"/>
      <c r="D179" s="38"/>
      <c r="E179" s="6"/>
      <c r="F179" s="6"/>
      <c r="G179" s="6"/>
      <c r="H179" s="6"/>
      <c r="I179" s="1">
        <f t="shared" si="6"/>
        <v>0</v>
      </c>
    </row>
    <row r="180" spans="1:9">
      <c r="A180" s="5"/>
      <c r="B180" s="38"/>
      <c r="C180" s="38"/>
      <c r="D180" s="38"/>
      <c r="E180" s="6"/>
      <c r="F180" s="6"/>
      <c r="G180" s="6"/>
      <c r="H180" s="6"/>
      <c r="I180" s="1">
        <f t="shared" si="6"/>
        <v>0</v>
      </c>
    </row>
    <row r="181" spans="1:9">
      <c r="A181" s="5"/>
      <c r="B181" s="38"/>
      <c r="C181" s="38"/>
      <c r="D181" s="38"/>
      <c r="E181" s="6"/>
      <c r="F181" s="6"/>
      <c r="G181" s="6"/>
      <c r="H181" s="6"/>
      <c r="I181" s="1">
        <f t="shared" si="6"/>
        <v>0</v>
      </c>
    </row>
    <row r="182" spans="1:9">
      <c r="A182" s="5"/>
      <c r="B182" s="38"/>
      <c r="C182" s="38"/>
      <c r="D182" s="38"/>
      <c r="E182" s="6"/>
      <c r="F182" s="6"/>
      <c r="G182" s="6"/>
      <c r="H182" s="6"/>
      <c r="I182" s="1">
        <f t="shared" si="6"/>
        <v>0</v>
      </c>
    </row>
    <row r="183" spans="1:9">
      <c r="A183" s="5"/>
      <c r="B183" s="38"/>
      <c r="C183" s="38"/>
      <c r="D183" s="38"/>
      <c r="E183" s="6"/>
      <c r="F183" s="6"/>
      <c r="G183" s="6"/>
      <c r="H183" s="6"/>
      <c r="I183" s="1">
        <f t="shared" si="6"/>
        <v>0</v>
      </c>
    </row>
    <row r="184" spans="1:9">
      <c r="A184" s="5"/>
      <c r="B184" s="38"/>
      <c r="C184" s="38"/>
      <c r="D184" s="38"/>
      <c r="E184" s="6"/>
      <c r="F184" s="6"/>
      <c r="G184" s="6"/>
      <c r="H184" s="6"/>
      <c r="I184" s="1">
        <f t="shared" si="6"/>
        <v>0</v>
      </c>
    </row>
    <row r="185" spans="1:9">
      <c r="A185" s="5"/>
      <c r="B185" s="38"/>
      <c r="C185" s="38"/>
      <c r="D185" s="38"/>
      <c r="E185" s="6"/>
      <c r="F185" s="6"/>
      <c r="G185" s="6"/>
      <c r="H185" s="6"/>
      <c r="I185" s="1">
        <f t="shared" si="6"/>
        <v>0</v>
      </c>
    </row>
    <row r="186" spans="1:9">
      <c r="A186" s="5"/>
      <c r="B186" s="40"/>
      <c r="C186" s="40"/>
      <c r="D186" s="38"/>
      <c r="E186" s="6"/>
      <c r="F186" s="6"/>
      <c r="G186" s="6"/>
      <c r="H186" s="6"/>
      <c r="I186" s="1">
        <f t="shared" si="6"/>
        <v>0</v>
      </c>
    </row>
    <row r="187" spans="1:9">
      <c r="A187" s="5"/>
      <c r="B187" s="40"/>
      <c r="C187" s="40"/>
      <c r="D187" s="38"/>
      <c r="E187" s="6"/>
      <c r="F187" s="6"/>
      <c r="G187" s="6"/>
      <c r="H187" s="6"/>
      <c r="I187" s="1">
        <f t="shared" si="6"/>
        <v>0</v>
      </c>
    </row>
    <row r="188" spans="1:9">
      <c r="A188" s="5"/>
      <c r="B188" s="40"/>
      <c r="C188" s="40"/>
      <c r="D188" s="38"/>
      <c r="E188" s="6"/>
      <c r="F188" s="6"/>
      <c r="G188" s="6"/>
      <c r="H188" s="6"/>
      <c r="I188" s="1">
        <f t="shared" si="6"/>
        <v>0</v>
      </c>
    </row>
    <row r="189" spans="1:9">
      <c r="A189" s="5"/>
      <c r="B189" s="40"/>
      <c r="C189" s="40"/>
      <c r="D189" s="38"/>
      <c r="E189" s="6"/>
      <c r="F189" s="6"/>
      <c r="G189" s="6"/>
      <c r="H189" s="6"/>
      <c r="I189" s="1">
        <f t="shared" si="6"/>
        <v>0</v>
      </c>
    </row>
    <row r="190" spans="1:9">
      <c r="A190" s="5"/>
      <c r="B190" s="40"/>
      <c r="C190" s="40"/>
      <c r="D190" s="38"/>
      <c r="E190" s="6"/>
      <c r="F190" s="6"/>
      <c r="G190" s="6"/>
      <c r="H190" s="6"/>
      <c r="I190" s="1">
        <f t="shared" si="6"/>
        <v>0</v>
      </c>
    </row>
    <row r="191" spans="1:9">
      <c r="A191" s="5"/>
      <c r="B191" s="40"/>
      <c r="C191" s="40"/>
      <c r="D191" s="38"/>
      <c r="E191" s="6"/>
      <c r="F191" s="6"/>
      <c r="G191" s="6"/>
      <c r="H191" s="6"/>
      <c r="I191" s="1">
        <f t="shared" si="6"/>
        <v>0</v>
      </c>
    </row>
    <row r="192" spans="1:9">
      <c r="A192" s="5"/>
      <c r="B192" s="40"/>
      <c r="C192" s="40"/>
      <c r="D192" s="38"/>
      <c r="E192" s="6"/>
      <c r="F192" s="6"/>
      <c r="G192" s="6"/>
      <c r="H192" s="6"/>
      <c r="I192" s="1">
        <f t="shared" si="6"/>
        <v>0</v>
      </c>
    </row>
    <row r="193" spans="1:9">
      <c r="A193" s="5"/>
      <c r="B193" s="40"/>
      <c r="C193" s="40"/>
      <c r="D193" s="38"/>
      <c r="E193" s="6"/>
      <c r="F193" s="6"/>
      <c r="G193" s="6"/>
      <c r="H193" s="6"/>
      <c r="I193" s="1">
        <f t="shared" si="6"/>
        <v>0</v>
      </c>
    </row>
    <row r="194" spans="1:9">
      <c r="A194" s="5"/>
      <c r="B194" s="38"/>
      <c r="C194" s="38"/>
      <c r="D194" s="38"/>
      <c r="E194" s="6"/>
      <c r="F194" s="6"/>
      <c r="G194" s="6"/>
      <c r="H194" s="6"/>
      <c r="I194" s="1">
        <f t="shared" si="6"/>
        <v>0</v>
      </c>
    </row>
    <row r="195" spans="1:9">
      <c r="A195" s="5"/>
      <c r="B195" s="38"/>
      <c r="C195" s="38"/>
      <c r="D195" s="38"/>
      <c r="E195" s="6"/>
      <c r="F195" s="6"/>
      <c r="G195" s="6"/>
      <c r="H195" s="6"/>
      <c r="I195" s="1">
        <f t="shared" si="6"/>
        <v>0</v>
      </c>
    </row>
    <row r="196" spans="1:9">
      <c r="A196" s="5"/>
      <c r="B196" s="38"/>
      <c r="C196" s="38"/>
      <c r="D196" s="38"/>
      <c r="E196" s="6"/>
      <c r="F196" s="6"/>
      <c r="G196" s="6"/>
      <c r="H196" s="6"/>
      <c r="I196" s="1">
        <f t="shared" si="6"/>
        <v>0</v>
      </c>
    </row>
    <row r="197" spans="1:9">
      <c r="A197" s="5"/>
      <c r="B197" s="38"/>
      <c r="C197" s="38"/>
      <c r="D197" s="38"/>
      <c r="E197" s="6"/>
      <c r="F197" s="6"/>
      <c r="G197" s="6"/>
      <c r="H197" s="6"/>
      <c r="I197" s="1">
        <f t="shared" si="6"/>
        <v>0</v>
      </c>
    </row>
    <row r="198" spans="1:9">
      <c r="A198" s="5"/>
      <c r="B198" s="40"/>
      <c r="C198" s="40"/>
      <c r="D198" s="38"/>
      <c r="E198" s="6"/>
      <c r="F198" s="6"/>
      <c r="G198" s="6"/>
      <c r="H198" s="6"/>
      <c r="I198" s="1">
        <f t="shared" si="6"/>
        <v>0</v>
      </c>
    </row>
    <row r="199" spans="1:9">
      <c r="A199" s="5"/>
      <c r="B199" s="40"/>
      <c r="C199" s="40"/>
      <c r="D199" s="38"/>
      <c r="E199" s="6"/>
      <c r="F199" s="6"/>
      <c r="G199" s="6"/>
      <c r="H199" s="6"/>
      <c r="I199" s="1">
        <f t="shared" si="6"/>
        <v>0</v>
      </c>
    </row>
    <row r="200" spans="1:9">
      <c r="A200" s="5"/>
      <c r="B200" s="38"/>
      <c r="C200" s="38"/>
      <c r="D200" s="38"/>
      <c r="E200" s="6"/>
      <c r="F200" s="6"/>
      <c r="G200" s="6"/>
      <c r="H200" s="6"/>
      <c r="I200" s="1">
        <f t="shared" si="6"/>
        <v>0</v>
      </c>
    </row>
    <row r="201" spans="1:9">
      <c r="B201" s="38"/>
      <c r="C201" s="38"/>
      <c r="D201" s="38"/>
    </row>
    <row r="202" spans="1:9">
      <c r="B202" s="42">
        <f>SUM(B6:B200)</f>
        <v>24034.879999999997</v>
      </c>
      <c r="C202" s="42">
        <f>SUM(C6:C200)</f>
        <v>-6362.5999999999985</v>
      </c>
      <c r="D202" s="42">
        <f>B202+C202</f>
        <v>17672.28</v>
      </c>
    </row>
    <row r="203" spans="1:9">
      <c r="A203" s="53" t="s">
        <v>10</v>
      </c>
      <c r="B203" s="53"/>
      <c r="C203" s="53"/>
      <c r="D203" s="53"/>
      <c r="E203" s="53"/>
      <c r="F203" s="53"/>
      <c r="G203" s="53"/>
      <c r="H203" s="53"/>
      <c r="I203" s="53"/>
    </row>
    <row r="204" spans="1:9">
      <c r="A204" s="8"/>
      <c r="B204" s="9">
        <f>SUM(B205:B206)</f>
        <v>24034.879999999997</v>
      </c>
      <c r="C204" s="9">
        <f>SUM(C205:C206)</f>
        <v>-6362.6</v>
      </c>
      <c r="D204" s="10"/>
      <c r="E204" s="8"/>
      <c r="F204" s="8"/>
      <c r="G204" s="8"/>
      <c r="H204" s="8"/>
      <c r="I204" s="8"/>
    </row>
    <row r="205" spans="1:9">
      <c r="B205" s="35">
        <f>SUMIF($G$6:$G$200,$G205,$B$6:$B$200)</f>
        <v>17116.989999999998</v>
      </c>
      <c r="C205" s="35">
        <f>SUMIF($G$6:$G$200,$G205,$C$6:$C$200)</f>
        <v>-5930.76</v>
      </c>
      <c r="D205" s="35">
        <f>B205+C205</f>
        <v>11186.229999999998</v>
      </c>
      <c r="E205" s="38">
        <f>D205-C41</f>
        <v>11686.229999999998</v>
      </c>
      <c r="F205" s="6" t="s">
        <v>262</v>
      </c>
      <c r="G205" s="6" t="s">
        <v>228</v>
      </c>
    </row>
    <row r="206" spans="1:9">
      <c r="B206" s="35">
        <f>SUMIF($G$6:$G$200,$G206,$B$6:$B$200)</f>
        <v>6917.89</v>
      </c>
      <c r="C206" s="35">
        <f>SUMIF($G$6:$G$200,$G206,$C$6:$C$200)</f>
        <v>-431.83999999999992</v>
      </c>
      <c r="D206" s="35">
        <f>B206+C206</f>
        <v>6486.05</v>
      </c>
      <c r="E206" s="2"/>
      <c r="F206" s="2"/>
      <c r="G206" s="6" t="s">
        <v>84</v>
      </c>
      <c r="H206" s="2"/>
    </row>
    <row r="207" spans="1:9">
      <c r="B207" s="35"/>
      <c r="C207" s="35"/>
      <c r="D207" s="35">
        <f>D202-B234</f>
        <v>-3079.8300000000017</v>
      </c>
      <c r="E207" s="1" t="s">
        <v>11</v>
      </c>
    </row>
    <row r="208" spans="1:9">
      <c r="A208" s="53" t="s">
        <v>12</v>
      </c>
      <c r="B208" s="53"/>
      <c r="C208" s="53"/>
      <c r="D208" s="53"/>
      <c r="E208" s="53"/>
      <c r="F208" s="53"/>
      <c r="G208" s="53"/>
      <c r="H208" s="53"/>
      <c r="I208" s="53"/>
    </row>
    <row r="209" spans="1:10">
      <c r="A209" s="8"/>
      <c r="B209" s="36">
        <f>SUM(B210:B234)</f>
        <v>24034.880000000001</v>
      </c>
      <c r="C209" s="36">
        <f>SUM(C210:C234)</f>
        <v>-6362.6</v>
      </c>
      <c r="D209" s="10"/>
      <c r="E209" s="8"/>
      <c r="F209" s="8"/>
      <c r="G209" s="8"/>
      <c r="H209" s="8"/>
      <c r="I209" s="8"/>
    </row>
    <row r="210" spans="1:10">
      <c r="B210" s="35"/>
      <c r="C210" s="35"/>
      <c r="E210" s="2"/>
      <c r="H210" s="1">
        <v>0</v>
      </c>
      <c r="I210" s="1">
        <v>0</v>
      </c>
      <c r="J210" s="11" t="s">
        <v>229</v>
      </c>
    </row>
    <row r="211" spans="1:10">
      <c r="B211" s="35">
        <f>SUMIF($I$6:$I$200,$I211,$B$6:$B$200)</f>
        <v>0</v>
      </c>
      <c r="C211" s="35">
        <f>SUMIF($I$6:$I$200,$I211,$C$6:$C$200)</f>
        <v>0</v>
      </c>
      <c r="H211" s="6" t="s">
        <v>65</v>
      </c>
      <c r="I211" s="1">
        <v>1</v>
      </c>
    </row>
    <row r="212" spans="1:10">
      <c r="B212" s="35">
        <f>SUMIF($I$6:$I$200,$I212,$B$6:$B$200)</f>
        <v>0</v>
      </c>
      <c r="C212" s="35">
        <f>SUMIF($I$6:$I$200,$I212,$C$6:$C$200)</f>
        <v>0</v>
      </c>
      <c r="H212" s="6" t="s">
        <v>230</v>
      </c>
      <c r="I212" s="1">
        <v>2</v>
      </c>
      <c r="J212" s="31" t="s">
        <v>122</v>
      </c>
    </row>
    <row r="213" spans="1:10">
      <c r="B213" s="35">
        <f>SUMIF($I$6:$I$200,$I213,$B$6:$B$200)</f>
        <v>0</v>
      </c>
      <c r="C213" s="35">
        <f>SUMIF($I$6:$I$200,$I213,$C$6:$C$200)</f>
        <v>0</v>
      </c>
      <c r="H213" s="6" t="s">
        <v>100</v>
      </c>
      <c r="I213" s="1">
        <v>3</v>
      </c>
      <c r="J213" s="1" t="s">
        <v>100</v>
      </c>
    </row>
    <row r="214" spans="1:10">
      <c r="B214" s="35">
        <f>SUMIF($I$6:$I$200,$I214,$B$6:$B$200)</f>
        <v>12.379999999999997</v>
      </c>
      <c r="C214" s="35">
        <f>SUMIF($I$6:$I$200,$I214,$C$6:$C$200)</f>
        <v>-131.84</v>
      </c>
      <c r="H214" s="6" t="s">
        <v>191</v>
      </c>
      <c r="I214" s="1">
        <v>4</v>
      </c>
      <c r="J214" s="1" t="s">
        <v>119</v>
      </c>
    </row>
    <row r="215" spans="1:10">
      <c r="B215" s="35">
        <f>SUMIF($I$6:$I$200,$I215,$B$6:$B$200)</f>
        <v>0</v>
      </c>
      <c r="C215" s="35">
        <f>SUMIF($I$6:$I$200,$I215,$C$6:$C$200)</f>
        <v>-355.17</v>
      </c>
      <c r="H215" s="12" t="s">
        <v>180</v>
      </c>
      <c r="I215" s="1">
        <v>5</v>
      </c>
      <c r="J215" s="1" t="s">
        <v>141</v>
      </c>
    </row>
    <row r="216" spans="1:10">
      <c r="B216" s="35">
        <f>SUMIF($I$6:$I$200,$I216,$B$6:$B$200)</f>
        <v>1800</v>
      </c>
      <c r="C216" s="35">
        <f>SUMIF($I$6:$I$200,$I216,$C$6:$C$200)</f>
        <v>-200</v>
      </c>
      <c r="H216" s="12" t="s">
        <v>102</v>
      </c>
      <c r="I216" s="1">
        <v>6</v>
      </c>
      <c r="J216" s="1" t="s">
        <v>141</v>
      </c>
    </row>
    <row r="217" spans="1:10">
      <c r="B217" s="35">
        <f>SUMIF($I$6:$I$200,$I217,$B$6:$B$200)</f>
        <v>0</v>
      </c>
      <c r="C217" s="35">
        <f>SUMIF($I$6:$I$200,$I217,$C$6:$C$200)</f>
        <v>0</v>
      </c>
      <c r="H217" s="6" t="s">
        <v>120</v>
      </c>
      <c r="I217" s="1">
        <v>7</v>
      </c>
    </row>
    <row r="218" spans="1:10">
      <c r="B218" s="35">
        <f>SUMIF($I$6:$I$200,$I218,$B$6:$B$200)</f>
        <v>0</v>
      </c>
      <c r="C218" s="35">
        <f>SUMIF($I$6:$I$200,$I218,$C$6:$C$200)</f>
        <v>0</v>
      </c>
      <c r="H218" s="6" t="s">
        <v>121</v>
      </c>
      <c r="I218" s="1">
        <v>8</v>
      </c>
    </row>
    <row r="219" spans="1:10">
      <c r="B219" s="35">
        <f>SUMIF($I$6:$I$200,$I219,$B$6:$B$200)</f>
        <v>175</v>
      </c>
      <c r="C219" s="35">
        <f>SUMIF($I$6:$I$200,$I219,$C$6:$C$200)</f>
        <v>-175</v>
      </c>
      <c r="H219" s="6" t="s">
        <v>29</v>
      </c>
      <c r="I219" s="1">
        <v>9</v>
      </c>
    </row>
    <row r="220" spans="1:10">
      <c r="B220" s="35">
        <f>SUMIF($I$6:$I$200,$I220,$B$6:$B$200)</f>
        <v>0</v>
      </c>
      <c r="C220" s="35">
        <f>SUMIF($I$6:$I$200,$I220,$C$6:$C$200)</f>
        <v>0</v>
      </c>
      <c r="H220" s="6" t="s">
        <v>46</v>
      </c>
      <c r="I220" s="1">
        <v>10</v>
      </c>
      <c r="J220" s="1" t="s">
        <v>122</v>
      </c>
    </row>
    <row r="221" spans="1:10">
      <c r="B221" s="35">
        <f>SUMIF($I$6:$I$200,$I221,$B$6:$B$200)</f>
        <v>0</v>
      </c>
      <c r="C221" s="35">
        <f>SUMIF($I$6:$I$200,$I221,$C$6:$C$200)</f>
        <v>0</v>
      </c>
      <c r="H221" s="6" t="s">
        <v>123</v>
      </c>
      <c r="I221" s="1">
        <v>11</v>
      </c>
      <c r="J221" s="1" t="s">
        <v>122</v>
      </c>
    </row>
    <row r="222" spans="1:10">
      <c r="B222" s="35">
        <f>SUMIF($I$6:$I$200,$I222,$B$6:$B$200)</f>
        <v>0.34</v>
      </c>
      <c r="C222" s="35">
        <f>SUMIF($I$6:$I$200,$I222,$C$6:$C$200)</f>
        <v>0</v>
      </c>
      <c r="H222" s="6" t="s">
        <v>106</v>
      </c>
      <c r="I222" s="1">
        <v>12</v>
      </c>
      <c r="J222" s="1" t="s">
        <v>119</v>
      </c>
    </row>
    <row r="223" spans="1:10">
      <c r="B223" s="35">
        <f>SUMIF($I$6:$I$200,$I223,$B$6:$B$200)</f>
        <v>0</v>
      </c>
      <c r="C223" s="35">
        <f>SUMIF($I$6:$I$200,$I223,$C$6:$C$200)</f>
        <v>-4500.59</v>
      </c>
      <c r="H223" s="6" t="s">
        <v>44</v>
      </c>
      <c r="I223" s="1">
        <v>13</v>
      </c>
      <c r="J223" s="1" t="s">
        <v>122</v>
      </c>
    </row>
    <row r="224" spans="1:10">
      <c r="B224" s="35">
        <f>SUMIF($I$6:$I$200,$I224,$B$6:$B$200)</f>
        <v>0</v>
      </c>
      <c r="C224" s="35">
        <f>SUMIF($I$6:$I$200,$I224,$C$6:$C$200)</f>
        <v>0</v>
      </c>
      <c r="H224" s="6" t="s">
        <v>198</v>
      </c>
      <c r="I224" s="1">
        <v>14</v>
      </c>
      <c r="J224" s="1" t="s">
        <v>122</v>
      </c>
    </row>
    <row r="225" spans="2:10">
      <c r="B225" s="35">
        <f>SUMIF($I$6:$I$200,$I225,$B$6:$B$200)</f>
        <v>0</v>
      </c>
      <c r="C225" s="35">
        <f>SUMIF($I$6:$I$200,$I225,$C$6:$C$200)</f>
        <v>0</v>
      </c>
      <c r="H225" s="6" t="s">
        <v>199</v>
      </c>
      <c r="I225" s="1">
        <v>15</v>
      </c>
    </row>
    <row r="226" spans="2:10">
      <c r="B226" s="35">
        <f>SUMIF($I$6:$I$200,$I226,$B$6:$B$200)</f>
        <v>1050</v>
      </c>
      <c r="C226" s="35">
        <f>SUMIF($I$6:$I$200,$I226,$C$6:$C$200)</f>
        <v>0</v>
      </c>
      <c r="H226" s="6" t="s">
        <v>85</v>
      </c>
      <c r="I226" s="1">
        <v>16</v>
      </c>
      <c r="J226" s="1" t="s">
        <v>85</v>
      </c>
    </row>
    <row r="227" spans="2:10">
      <c r="B227" s="35">
        <f>SUMIF($I$6:$I$200,$I227,$B$6:$B$200)</f>
        <v>0</v>
      </c>
      <c r="C227" s="35">
        <f>SUMIF($I$6:$I$200,$I227,$C$6:$C$200)</f>
        <v>0</v>
      </c>
      <c r="H227" s="6" t="s">
        <v>169</v>
      </c>
      <c r="I227" s="1">
        <v>17</v>
      </c>
      <c r="J227" s="1" t="s">
        <v>122</v>
      </c>
    </row>
    <row r="228" spans="2:10">
      <c r="B228" s="35">
        <f>SUMIF($I$6:$I$200,$I228,$B$6:$B$200)</f>
        <v>0</v>
      </c>
      <c r="C228" s="35">
        <f>SUMIF($I$6:$I$200,$I228,$C$6:$C$200)</f>
        <v>0</v>
      </c>
      <c r="H228" s="6" t="s">
        <v>223</v>
      </c>
      <c r="I228" s="1">
        <v>18</v>
      </c>
    </row>
    <row r="229" spans="2:10">
      <c r="B229" s="35">
        <f>SUMIF($I$6:$I$200,$I229,$B$6:$B$200)</f>
        <v>0</v>
      </c>
      <c r="C229" s="35">
        <f>SUMIF($I$6:$I$200,$I229,$C$6:$C$200)</f>
        <v>0</v>
      </c>
      <c r="H229" s="6" t="s">
        <v>200</v>
      </c>
      <c r="I229" s="1">
        <v>19</v>
      </c>
      <c r="J229" s="1" t="s">
        <v>122</v>
      </c>
    </row>
    <row r="230" spans="2:10">
      <c r="B230" s="35">
        <f>SUMIF($I$6:$I$200,$I230,$B$6:$B$200)</f>
        <v>0</v>
      </c>
      <c r="C230" s="35">
        <f>SUMIF($I$6:$I$200,$I230,$C$6:$C$200)</f>
        <v>0</v>
      </c>
      <c r="H230" s="6" t="s">
        <v>201</v>
      </c>
      <c r="I230" s="1">
        <v>20</v>
      </c>
      <c r="J230" s="1" t="s">
        <v>122</v>
      </c>
    </row>
    <row r="231" spans="2:10">
      <c r="B231" s="35">
        <f>SUMIF($I$6:$I$200,$I231,$B$6:$B$200)</f>
        <v>0</v>
      </c>
      <c r="C231" s="35">
        <f>SUMIF($I$6:$I$200,$I231,$C$6:$C$200)</f>
        <v>-1000</v>
      </c>
      <c r="H231" s="6" t="s">
        <v>202</v>
      </c>
      <c r="I231" s="1">
        <v>21</v>
      </c>
    </row>
    <row r="232" spans="2:10">
      <c r="B232" s="35">
        <f>SUMIF($I$6:$I$200,$I232,$B$6:$B$200)</f>
        <v>0</v>
      </c>
      <c r="C232" s="35">
        <f>SUMIF($I$6:$I$200,$I232,$C$6:$C$200)</f>
        <v>0</v>
      </c>
      <c r="H232" s="6" t="s">
        <v>203</v>
      </c>
      <c r="I232" s="1">
        <v>22</v>
      </c>
    </row>
    <row r="233" spans="2:10">
      <c r="B233" s="35">
        <f>SUMIF($I$6:$I$200,$I233,$B$6:$B$200)</f>
        <v>245.05</v>
      </c>
      <c r="C233" s="35">
        <f>SUMIF($I$6:$I$200,$I233,$C$6:$C$200)</f>
        <v>0</v>
      </c>
      <c r="H233" s="6" t="s">
        <v>83</v>
      </c>
      <c r="I233" s="1">
        <v>23</v>
      </c>
      <c r="J233" s="1" t="s">
        <v>111</v>
      </c>
    </row>
    <row r="234" spans="2:10">
      <c r="B234" s="35">
        <f>SUM(B6:B7)</f>
        <v>20752.11</v>
      </c>
      <c r="C234" s="35">
        <f>SUM(C6:C7)</f>
        <v>0</v>
      </c>
      <c r="H234" s="1" t="s">
        <v>28</v>
      </c>
      <c r="I234" s="1">
        <v>90</v>
      </c>
      <c r="J234" s="1" t="s">
        <v>119</v>
      </c>
    </row>
    <row r="248" spans="2:2">
      <c r="B248"/>
    </row>
  </sheetData>
  <sheetCalcPr fullCalcOnLoad="1"/>
  <autoFilter ref="H6:H200"/>
  <mergeCells count="5">
    <mergeCell ref="A1:I1"/>
    <mergeCell ref="A3:I3"/>
    <mergeCell ref="A4:I4"/>
    <mergeCell ref="A203:I203"/>
    <mergeCell ref="A208:I208"/>
  </mergeCells>
  <phoneticPr fontId="6" type="noConversion"/>
  <conditionalFormatting sqref="B204:C204 B209:C209">
    <cfRule type="expression" dxfId="5" priority="1" stopIfTrue="1">
      <formula>0</formula>
    </cfRule>
  </conditionalFormatting>
  <conditionalFormatting sqref="H207">
    <cfRule type="expression" dxfId="4" priority="2" stopIfTrue="1">
      <formula>0</formula>
    </cfRule>
  </conditionalFormatting>
  <conditionalFormatting sqref="G205">
    <cfRule type="expression" dxfId="3" priority="3" stopIfTrue="1">
      <formula>0</formula>
    </cfRule>
  </conditionalFormatting>
  <conditionalFormatting sqref="G206">
    <cfRule type="expression" dxfId="2" priority="4" stopIfTrue="1">
      <formula>0</formula>
    </cfRule>
  </conditionalFormatting>
  <conditionalFormatting sqref="H211:H233 H88 H38 H86 H73">
    <cfRule type="expression" dxfId="1" priority="5" stopIfTrue="1">
      <formula>0</formula>
    </cfRule>
    <cfRule type="expression" dxfId="0" priority="6" stopIfTrue="1">
      <formula>0</formula>
    </cfRule>
  </conditionalFormatting>
  <dataValidations count="2">
    <dataValidation type="list" operator="equal" allowBlank="1" sqref="G104:G200 G77:G78 G85:G89 G96 G98 G100:G101 G6:G74">
      <formula1>Journal!$G$157:$G$158</formula1>
      <formula2>0</formula2>
    </dataValidation>
    <dataValidation type="list" allowBlank="1" showInputMessage="1" showErrorMessage="1" sqref="H104:H200 H6:H37 H74 H77:H78 H85 H87 H89 H96 H98 H100:H101 H39:H72">
      <formula1>$H$210:$H$234</formula1>
    </dataValidation>
  </dataValidations>
  <pageMargins left="0.2" right="0.2" top="0.75" bottom="0.75" header="0.51" footer="0.51"/>
  <headerFooter alignWithMargins="0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19"/>
  <sheetViews>
    <sheetView topLeftCell="A2" zoomScale="125" zoomScaleSheetLayoutView="100" workbookViewId="0">
      <selection activeCell="A3" sqref="A3"/>
    </sheetView>
  </sheetViews>
  <sheetFormatPr baseColWidth="10" defaultColWidth="7.42578125" defaultRowHeight="14"/>
  <cols>
    <col min="1" max="1" width="5.140625" style="1" customWidth="1"/>
    <col min="2" max="2" width="7.42578125" style="1"/>
    <col min="3" max="3" width="5.140625" style="1" customWidth="1"/>
    <col min="4" max="6" width="10.7109375" style="1" customWidth="1"/>
    <col min="7" max="16384" width="7.42578125" style="1"/>
  </cols>
  <sheetData>
    <row r="1" spans="1:12" s="14" customFormat="1" ht="39.75" customHeight="1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13"/>
      <c r="K1" s="13"/>
      <c r="L1" s="13"/>
    </row>
    <row r="3" spans="1:12" ht="15">
      <c r="A3" s="15" t="s">
        <v>99</v>
      </c>
      <c r="B3" s="16"/>
      <c r="C3" s="16"/>
      <c r="D3" s="16"/>
      <c r="E3" s="16"/>
      <c r="F3" s="16"/>
    </row>
    <row r="4" spans="1:12">
      <c r="A4" s="27" t="s">
        <v>126</v>
      </c>
      <c r="B4" s="16"/>
      <c r="C4" s="16"/>
      <c r="D4" s="16"/>
      <c r="E4" s="16"/>
      <c r="F4" s="16"/>
    </row>
    <row r="5" spans="1:12">
      <c r="A5" s="31" t="s">
        <v>127</v>
      </c>
    </row>
    <row r="6" spans="1:12">
      <c r="A6" s="11" t="s">
        <v>112</v>
      </c>
    </row>
    <row r="7" spans="1:12">
      <c r="B7" s="1" t="s">
        <v>233</v>
      </c>
      <c r="D7" s="35">
        <f>LOOKUP(B7,Journal!$G$205:$G$206,Journal!$D$205:$D$206)</f>
        <v>11186.229999999998</v>
      </c>
      <c r="E7" s="35"/>
      <c r="F7" s="35"/>
    </row>
    <row r="8" spans="1:12">
      <c r="B8" s="1" t="s">
        <v>234</v>
      </c>
      <c r="D8" s="35">
        <f>LOOKUP(B8,Journal!$G$205:$G$206,Journal!$D$205:$D$206)</f>
        <v>6486.05</v>
      </c>
      <c r="E8" s="35"/>
      <c r="F8" s="35"/>
    </row>
    <row r="9" spans="1:12">
      <c r="D9" s="35"/>
      <c r="E9" s="37">
        <f>SUM(D7:D8)</f>
        <v>17672.28</v>
      </c>
      <c r="F9" s="35"/>
    </row>
    <row r="10" spans="1:12">
      <c r="B10" s="1" t="s">
        <v>110</v>
      </c>
      <c r="D10" s="35"/>
      <c r="E10" s="35"/>
      <c r="F10" s="37">
        <f>SUM(E9)</f>
        <v>17672.28</v>
      </c>
    </row>
    <row r="11" spans="1:12">
      <c r="D11" s="35"/>
      <c r="E11" s="35"/>
      <c r="F11" s="35"/>
    </row>
    <row r="12" spans="1:12">
      <c r="A12" s="11" t="s">
        <v>105</v>
      </c>
      <c r="D12" s="35"/>
      <c r="E12" s="35"/>
      <c r="F12" s="35"/>
    </row>
    <row r="13" spans="1:12">
      <c r="B13" s="1" t="s">
        <v>105</v>
      </c>
      <c r="D13" s="35">
        <v>0</v>
      </c>
      <c r="E13" s="35"/>
      <c r="F13" s="35"/>
    </row>
    <row r="14" spans="1:12">
      <c r="D14" s="35"/>
      <c r="E14" s="37">
        <f>SUM(D13)</f>
        <v>0</v>
      </c>
      <c r="F14" s="35"/>
    </row>
    <row r="15" spans="1:12">
      <c r="B15" s="1" t="s">
        <v>63</v>
      </c>
      <c r="D15" s="35">
        <f>E9</f>
        <v>17672.28</v>
      </c>
      <c r="E15" s="35"/>
      <c r="F15" s="35"/>
    </row>
    <row r="16" spans="1:12">
      <c r="D16" s="35"/>
      <c r="E16" s="37">
        <f>SUM(D15)</f>
        <v>17672.28</v>
      </c>
      <c r="F16" s="35"/>
    </row>
    <row r="17" spans="2:6">
      <c r="B17" s="1" t="s">
        <v>64</v>
      </c>
      <c r="D17" s="35"/>
      <c r="E17" s="35"/>
      <c r="F17" s="37">
        <f>SUM(E14:E16)</f>
        <v>17672.28</v>
      </c>
    </row>
    <row r="19" spans="2:6">
      <c r="B19" s="6"/>
    </row>
  </sheetData>
  <sheetCalcPr fullCalcOnLoad="1"/>
  <mergeCells count="1">
    <mergeCell ref="A1:I1"/>
  </mergeCells>
  <phoneticPr fontId="6" type="noConversion"/>
  <pageMargins left="0.7" right="0.7" top="0.75" bottom="0.75" header="0.51180555555555551" footer="0.5118055555555555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7"/>
  <sheetViews>
    <sheetView topLeftCell="A22" zoomScale="125" zoomScaleSheetLayoutView="100" workbookViewId="0">
      <selection activeCell="E52" sqref="E52"/>
    </sheetView>
  </sheetViews>
  <sheetFormatPr baseColWidth="10" defaultColWidth="7.42578125" defaultRowHeight="14"/>
  <cols>
    <col min="1" max="1" width="4.5703125" style="1" customWidth="1"/>
    <col min="2" max="2" width="16.140625" style="1" customWidth="1"/>
    <col min="3" max="3" width="2" style="1" customWidth="1"/>
    <col min="4" max="5" width="10.7109375" style="1" customWidth="1"/>
    <col min="6" max="16384" width="7.42578125" style="1"/>
  </cols>
  <sheetData>
    <row r="1" spans="1:12" s="18" customFormat="1" ht="41" customHeight="1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17"/>
      <c r="K1" s="17"/>
      <c r="L1" s="17"/>
    </row>
    <row r="3" spans="1:12" ht="15">
      <c r="A3" s="15" t="s">
        <v>114</v>
      </c>
      <c r="B3" s="16"/>
      <c r="C3" s="16"/>
      <c r="D3" s="16"/>
      <c r="E3" s="16"/>
    </row>
    <row r="4" spans="1:12">
      <c r="A4" s="27" t="s">
        <v>128</v>
      </c>
      <c r="B4" s="16"/>
      <c r="C4" s="16"/>
      <c r="D4" s="16"/>
      <c r="E4" s="16"/>
    </row>
    <row r="5" spans="1:12">
      <c r="A5" s="31" t="str">
        <f>'Balance Sheet'!A5</f>
        <v>Draft - January 5, 2012</v>
      </c>
    </row>
    <row r="6" spans="1:12">
      <c r="A6" s="11" t="s">
        <v>222</v>
      </c>
      <c r="D6" s="2"/>
      <c r="E6" s="2"/>
    </row>
    <row r="7" spans="1:12">
      <c r="B7" s="6" t="s">
        <v>65</v>
      </c>
      <c r="D7" s="35">
        <f>LOOKUP(B7,Journal!$H$211:$H$233,Journal!$B$211:$B$233)</f>
        <v>0</v>
      </c>
      <c r="E7" s="35"/>
    </row>
    <row r="8" spans="1:12">
      <c r="B8" s="6" t="s">
        <v>100</v>
      </c>
      <c r="D8" s="35">
        <f>LOOKUP(B8,Journal!$H$211:$H$233,Journal!$B$211:$B$233)</f>
        <v>0</v>
      </c>
      <c r="E8" s="35"/>
    </row>
    <row r="9" spans="1:12">
      <c r="B9" s="6" t="s">
        <v>191</v>
      </c>
      <c r="D9" s="35">
        <f>LOOKUP(B9,Journal!$H$211:$H$233,Journal!$B$211:$B$233)</f>
        <v>12.379999999999997</v>
      </c>
      <c r="E9" s="35"/>
    </row>
    <row r="10" spans="1:12">
      <c r="B10" s="12" t="s">
        <v>180</v>
      </c>
      <c r="D10" s="35">
        <f>LOOKUP(B10,Journal!$H$211:$H$233,Journal!$B$211:$B$233)</f>
        <v>0</v>
      </c>
      <c r="E10" s="35"/>
    </row>
    <row r="11" spans="1:12">
      <c r="B11" s="12" t="s">
        <v>102</v>
      </c>
      <c r="D11" s="35">
        <f>LOOKUP(B11,Journal!$H$211:$H$233,Journal!$B$211:$B$233)</f>
        <v>1800</v>
      </c>
      <c r="E11" s="35"/>
    </row>
    <row r="12" spans="1:12">
      <c r="B12" s="6" t="s">
        <v>29</v>
      </c>
      <c r="D12" s="35">
        <f>LOOKUP(B12,Journal!$H$211:$H$233,Journal!$B$211:$B$233)</f>
        <v>175</v>
      </c>
      <c r="E12" s="35"/>
    </row>
    <row r="13" spans="1:12">
      <c r="B13" s="6" t="s">
        <v>82</v>
      </c>
      <c r="D13" s="35">
        <f>LOOKUP(B13,Journal!$H$211:$H$233,Journal!$B$211:$B$233)</f>
        <v>0</v>
      </c>
      <c r="E13" s="35"/>
    </row>
    <row r="14" spans="1:12">
      <c r="B14" s="6" t="s">
        <v>106</v>
      </c>
      <c r="D14" s="35">
        <f>LOOKUP(B14,Journal!$H$211:$H$233,Journal!$B$211:$B$233)</f>
        <v>0.34</v>
      </c>
      <c r="E14" s="35"/>
    </row>
    <row r="15" spans="1:12">
      <c r="B15" s="6" t="s">
        <v>85</v>
      </c>
      <c r="D15" s="35">
        <f>LOOKUP(B15,Journal!$H$211:$H$233,Journal!$B$211:$B$233)</f>
        <v>1050</v>
      </c>
      <c r="E15" s="35"/>
    </row>
    <row r="16" spans="1:12">
      <c r="B16" s="6" t="s">
        <v>169</v>
      </c>
      <c r="D16" s="35">
        <f>LOOKUP(B16,Journal!$H$211:$H$233,Journal!$B$211:$B$233)</f>
        <v>0</v>
      </c>
      <c r="E16" s="35"/>
    </row>
    <row r="17" spans="1:5">
      <c r="B17" s="6" t="s">
        <v>223</v>
      </c>
      <c r="D17" s="35">
        <f>LOOKUP(B17,Journal!$H$211:$H$233,Journal!$B$211:$B$233)</f>
        <v>0</v>
      </c>
      <c r="E17" s="35"/>
    </row>
    <row r="18" spans="1:5">
      <c r="B18" s="6" t="s">
        <v>202</v>
      </c>
      <c r="D18" s="35">
        <f>LOOKUP(B18,Journal!$H$211:$H$233,Journal!$B$211:$B$233)</f>
        <v>0</v>
      </c>
      <c r="E18" s="35"/>
    </row>
    <row r="19" spans="1:5" ht="15">
      <c r="A19"/>
      <c r="B19" s="6" t="s">
        <v>59</v>
      </c>
      <c r="D19" s="35">
        <f>LOOKUP(B19,Journal!$H$211:$H$233,Journal!$B$211:$B$233)</f>
        <v>245.05</v>
      </c>
      <c r="E19" s="35"/>
    </row>
    <row r="20" spans="1:5">
      <c r="B20" s="6"/>
      <c r="D20" s="35"/>
      <c r="E20" s="37">
        <f>SUM(D7:D19)</f>
        <v>3282.7700000000004</v>
      </c>
    </row>
    <row r="21" spans="1:5">
      <c r="D21" s="35"/>
      <c r="E21" s="35"/>
    </row>
    <row r="22" spans="1:5">
      <c r="A22" s="11" t="s">
        <v>117</v>
      </c>
      <c r="D22" s="35"/>
      <c r="E22" s="35"/>
    </row>
    <row r="23" spans="1:5">
      <c r="A23" s="11"/>
      <c r="B23" s="6" t="s">
        <v>65</v>
      </c>
      <c r="D23" s="35">
        <f>LOOKUP(B23,Journal!$H$211:$H$233,Journal!$C$211:$C$233)</f>
        <v>0</v>
      </c>
      <c r="E23" s="35"/>
    </row>
    <row r="24" spans="1:5">
      <c r="A24" s="11"/>
      <c r="B24" s="31" t="s">
        <v>230</v>
      </c>
      <c r="D24" s="35">
        <f>LOOKUP(B24,Journal!$H$211:$H$233,Journal!$C$211:$C$233)</f>
        <v>0</v>
      </c>
      <c r="E24" s="35"/>
    </row>
    <row r="25" spans="1:5">
      <c r="B25" s="6" t="s">
        <v>191</v>
      </c>
      <c r="D25" s="35">
        <f>LOOKUP(B25,Journal!$H$211:$H$233,Journal!$C$211:$C$233)</f>
        <v>-131.84</v>
      </c>
      <c r="E25" s="35"/>
    </row>
    <row r="26" spans="1:5">
      <c r="B26" s="12" t="s">
        <v>180</v>
      </c>
      <c r="D26" s="35">
        <f>LOOKUP(B26,Journal!$H$211:$H$233,Journal!$C$211:$C$233)</f>
        <v>-355.17</v>
      </c>
      <c r="E26" s="35"/>
    </row>
    <row r="27" spans="1:5">
      <c r="B27" s="12" t="s">
        <v>102</v>
      </c>
      <c r="D27" s="35">
        <f>LOOKUP(B27,Journal!$H$211:$H$233,Journal!$C$211:$C$233)</f>
        <v>-200</v>
      </c>
      <c r="E27" s="35"/>
    </row>
    <row r="28" spans="1:5">
      <c r="B28" s="6" t="s">
        <v>29</v>
      </c>
      <c r="D28" s="35">
        <f>LOOKUP(B28,Journal!$H$211:$H$233,Journal!$C$211:$C$233)</f>
        <v>-175</v>
      </c>
      <c r="E28" s="35"/>
    </row>
    <row r="29" spans="1:5">
      <c r="B29" s="6" t="s">
        <v>46</v>
      </c>
      <c r="D29" s="35">
        <f>LOOKUP(B29,Journal!$H$211:$H$233,Journal!$C$211:$C$233)</f>
        <v>0</v>
      </c>
      <c r="E29" s="35"/>
    </row>
    <row r="30" spans="1:5">
      <c r="B30" s="6" t="s">
        <v>44</v>
      </c>
      <c r="D30" s="35">
        <f>LOOKUP(B30,Journal!$H$211:$H$233,Journal!$C$211:$C$233)</f>
        <v>-4500.59</v>
      </c>
      <c r="E30" s="35"/>
    </row>
    <row r="31" spans="1:5">
      <c r="B31" s="6" t="s">
        <v>85</v>
      </c>
      <c r="D31" s="35">
        <f>LOOKUP(B31,Journal!$H$211:$H$233,Journal!$C$211:$C$233)</f>
        <v>0</v>
      </c>
      <c r="E31" s="35"/>
    </row>
    <row r="32" spans="1:5">
      <c r="B32" s="6" t="s">
        <v>202</v>
      </c>
      <c r="D32" s="35">
        <f>LOOKUP(B32,Journal!$H$211:$H$233,Journal!$C$211:$C$233)</f>
        <v>-1000</v>
      </c>
      <c r="E32" s="35"/>
    </row>
    <row r="33" spans="1:5">
      <c r="B33" s="6" t="s">
        <v>59</v>
      </c>
      <c r="D33" s="35">
        <f>LOOKUP(B33,Journal!$H$211:$H$233,Journal!$C$211:$C$233)</f>
        <v>0</v>
      </c>
      <c r="E33" s="35"/>
    </row>
    <row r="34" spans="1:5">
      <c r="B34" s="6" t="s">
        <v>169</v>
      </c>
      <c r="D34" s="35">
        <f>LOOKUP(B34,Journal!$H$211:$H$233,Journal!$C$211:$C$233)</f>
        <v>0</v>
      </c>
      <c r="E34" s="35"/>
    </row>
    <row r="35" spans="1:5">
      <c r="D35" s="35"/>
      <c r="E35" s="37">
        <f>SUM(D23:D34)</f>
        <v>-6362.6</v>
      </c>
    </row>
    <row r="36" spans="1:5">
      <c r="D36" s="35"/>
      <c r="E36" s="35"/>
    </row>
    <row r="37" spans="1:5" ht="15" thickBot="1">
      <c r="A37" s="11" t="s">
        <v>57</v>
      </c>
      <c r="D37" s="35"/>
      <c r="E37" s="34">
        <f>SUM(E20:E35)</f>
        <v>-3079.83</v>
      </c>
    </row>
  </sheetData>
  <sheetCalcPr fullCalcOnLoad="1"/>
  <mergeCells count="1">
    <mergeCell ref="A1:I1"/>
  </mergeCells>
  <phoneticPr fontId="6" type="noConversion"/>
  <conditionalFormatting sqref="B23:B34 B7:B18 B20">
    <cfRule type="expression" dxfId="16" priority="1" stopIfTrue="1">
      <formula>0</formula>
    </cfRule>
    <cfRule type="expression" dxfId="15" priority="2" stopIfTrue="1">
      <formula>0</formula>
    </cfRule>
  </conditionalFormatting>
  <pageMargins left="0.7" right="0.7" top="0.75" bottom="0.75" header="0.51180555555555551" footer="0.5118055555555555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V24"/>
  <sheetViews>
    <sheetView topLeftCell="A6" zoomScale="125" zoomScaleSheetLayoutView="100" workbookViewId="0">
      <selection activeCell="G21" sqref="G21"/>
    </sheetView>
  </sheetViews>
  <sheetFormatPr baseColWidth="10" defaultColWidth="7.42578125" defaultRowHeight="14"/>
  <cols>
    <col min="1" max="1" width="4.85546875" style="1" customWidth="1"/>
    <col min="2" max="2" width="19.28515625" style="1" customWidth="1"/>
    <col min="3" max="3" width="3" style="1" customWidth="1"/>
    <col min="4" max="5" width="10.7109375" style="1" customWidth="1"/>
    <col min="6" max="16384" width="7.42578125" style="1"/>
  </cols>
  <sheetData>
    <row r="1" spans="1:12" ht="41" customHeight="1">
      <c r="A1" s="48" t="s">
        <v>31</v>
      </c>
      <c r="B1" s="48"/>
      <c r="C1" s="48"/>
      <c r="D1" s="48"/>
      <c r="E1" s="48"/>
      <c r="F1" s="48"/>
      <c r="G1" s="48"/>
      <c r="H1" s="48"/>
      <c r="I1" s="48"/>
      <c r="J1"/>
      <c r="K1"/>
      <c r="L1"/>
    </row>
    <row r="3" spans="1:12" ht="15">
      <c r="A3" s="15" t="s">
        <v>58</v>
      </c>
      <c r="B3" s="16"/>
      <c r="C3" s="16"/>
      <c r="D3" s="16"/>
      <c r="E3" s="16"/>
    </row>
    <row r="4" spans="1:12">
      <c r="A4" s="27" t="s">
        <v>128</v>
      </c>
      <c r="B4" s="16"/>
      <c r="C4" s="16"/>
      <c r="D4" s="16"/>
      <c r="E4" s="16"/>
    </row>
    <row r="5" spans="1:12">
      <c r="A5" s="31" t="str">
        <f>'Balance Sheet'!A5</f>
        <v>Draft - January 5, 2012</v>
      </c>
    </row>
    <row r="6" spans="1:12">
      <c r="B6" s="7" t="s">
        <v>227</v>
      </c>
      <c r="D6" s="35"/>
      <c r="E6" s="35">
        <f>Journal!B234</f>
        <v>20752.11</v>
      </c>
    </row>
    <row r="7" spans="1:12">
      <c r="B7" s="7" t="s">
        <v>65</v>
      </c>
      <c r="D7" s="35">
        <f>LOOKUP(B7,Journal!$H$211:$H$233,Journal!$B$211:$B$233)+LOOKUP(B7,Journal!$H$211:$H$233,Journal!$C$211:$C$233)</f>
        <v>0</v>
      </c>
      <c r="E7" s="35"/>
    </row>
    <row r="8" spans="1:12">
      <c r="B8" s="32" t="s">
        <v>230</v>
      </c>
      <c r="D8" s="35">
        <f>LOOKUP(B8,Journal!$H$211:$H$233,Journal!$B$211:$B$233)+LOOKUP(B8,Journal!$H$211:$H$233,Journal!$C$211:$C$233)</f>
        <v>0</v>
      </c>
      <c r="E8" s="35"/>
    </row>
    <row r="9" spans="1:12">
      <c r="B9" s="7" t="s">
        <v>100</v>
      </c>
      <c r="D9" s="35">
        <f>LOOKUP(B9,Journal!$H$211:$H$233,Journal!$B$211:$B$233)+LOOKUP(B9,Journal!$H$211:$H$233,Journal!$C$211:$C$233)</f>
        <v>0</v>
      </c>
      <c r="E9" s="35"/>
    </row>
    <row r="10" spans="1:12">
      <c r="B10" s="6" t="s">
        <v>191</v>
      </c>
      <c r="D10" s="35">
        <f>LOOKUP(B10,Journal!$H$211:$H$233,Journal!$B$211:$B$233)+LOOKUP(B10,Journal!$H$211:$H$233,Journal!$C$211:$C$233)</f>
        <v>-119.46000000000001</v>
      </c>
      <c r="E10" s="35"/>
    </row>
    <row r="11" spans="1:12">
      <c r="B11" s="12" t="s">
        <v>180</v>
      </c>
      <c r="D11" s="35">
        <f>LOOKUP(B11,Journal!$H$211:$H$233,Journal!$B$211:$B$233)+LOOKUP(B11,Journal!$H$211:$H$233,Journal!$C$211:$C$233)</f>
        <v>-355.17</v>
      </c>
      <c r="E11" s="35"/>
    </row>
    <row r="12" spans="1:12">
      <c r="B12" s="12" t="s">
        <v>102</v>
      </c>
      <c r="D12" s="35">
        <f>LOOKUP(B12,Journal!$H$211:$H$233,Journal!$B$211:$B$233)+LOOKUP(B12,Journal!$H$211:$H$233,Journal!$C$211:$C$233)</f>
        <v>1600</v>
      </c>
      <c r="E12" s="35"/>
    </row>
    <row r="13" spans="1:12">
      <c r="B13" s="7" t="s">
        <v>29</v>
      </c>
      <c r="D13" s="35">
        <f>LOOKUP(B13,Journal!$H$211:$H$233,Journal!$B$211:$B$233)+LOOKUP(B13,Journal!$H$211:$H$233,Journal!$C$211:$C$233)</f>
        <v>0</v>
      </c>
      <c r="E13" s="35"/>
    </row>
    <row r="14" spans="1:12">
      <c r="B14" s="6" t="s">
        <v>46</v>
      </c>
      <c r="D14" s="35">
        <f>LOOKUP(B14,Journal!$H$211:$H$233,Journal!$B$211:$B$233)+LOOKUP(B14,Journal!$H$211:$H$233,Journal!$C$211:$C$233)</f>
        <v>0</v>
      </c>
      <c r="E14" s="35"/>
    </row>
    <row r="15" spans="1:12">
      <c r="B15" s="7" t="s">
        <v>106</v>
      </c>
      <c r="D15" s="35">
        <f>LOOKUP(B15,Journal!$H$211:$H$233,Journal!$B$211:$B$233)+LOOKUP(B15,Journal!$H$211:$H$233,Journal!$C$211:$C$233)</f>
        <v>0.34</v>
      </c>
      <c r="E15" s="35"/>
    </row>
    <row r="16" spans="1:12">
      <c r="B16" s="7" t="s">
        <v>44</v>
      </c>
      <c r="D16" s="35">
        <f>LOOKUP(B16,Journal!$H$211:$H$233,Journal!$B$211:$B$233)+LOOKUP(B16,Journal!$H$211:$H$233,Journal!$C$211:$C$233)</f>
        <v>-4500.59</v>
      </c>
      <c r="E16" s="35"/>
    </row>
    <row r="17" spans="1:256">
      <c r="B17" s="7" t="s">
        <v>85</v>
      </c>
      <c r="D17" s="35">
        <f>LOOKUP(B17,Journal!$H$211:$H$233,Journal!$B$211:$B$233)+LOOKUP(B17,Journal!$H$211:$H$233,Journal!$C$211:$C$233)</f>
        <v>1050</v>
      </c>
      <c r="E17" s="35"/>
    </row>
    <row r="18" spans="1:256">
      <c r="B18" s="1" t="s">
        <v>169</v>
      </c>
      <c r="D18" s="35">
        <f>LOOKUP(B18,Journal!$H$211:$H$233,Journal!$B$211:$B$233)+LOOKUP(B18,Journal!$H$211:$H$233,Journal!$C$211:$C$233)</f>
        <v>0</v>
      </c>
      <c r="E18" s="35"/>
    </row>
    <row r="19" spans="1:256">
      <c r="B19" s="7" t="s">
        <v>223</v>
      </c>
      <c r="D19" s="35">
        <f>LOOKUP(B19,Journal!$H$211:$H$233,Journal!$B$211:$B$233)+LOOKUP(B19,Journal!$H$211:$H$233,Journal!$C$211:$C$233)</f>
        <v>0</v>
      </c>
      <c r="E19" s="35"/>
    </row>
    <row r="20" spans="1:256">
      <c r="B20" s="7" t="s">
        <v>60</v>
      </c>
      <c r="D20" s="35">
        <f>LOOKUP(B20,Journal!$H$211:$H$233,Journal!$B$211:$B$233)+LOOKUP(B20,Journal!$H$211:$H$233,Journal!$C$211:$C$233)</f>
        <v>-1000</v>
      </c>
      <c r="E20" s="35"/>
    </row>
    <row r="21" spans="1:256" ht="15">
      <c r="B21" s="6" t="s">
        <v>18</v>
      </c>
      <c r="D21" s="35">
        <f>LOOKUP(B21,Journal!$H$211:$H$233,Journal!$B$211:$B$233)+LOOKUP(B21,Journal!$H$211:$H$233,Journal!$C$211:$C$233)</f>
        <v>245.05</v>
      </c>
      <c r="E21" s="35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/>
      <c r="B22"/>
      <c r="C22"/>
      <c r="D22" s="35"/>
      <c r="E22" s="35"/>
      <c r="F22"/>
      <c r="G22"/>
      <c r="H22"/>
      <c r="I22"/>
    </row>
    <row r="23" spans="1:256">
      <c r="B23" s="6" t="s">
        <v>231</v>
      </c>
      <c r="D23" s="35"/>
      <c r="E23" s="37">
        <f>SUM(D7:D22)</f>
        <v>-3079.83</v>
      </c>
    </row>
    <row r="24" spans="1:256" ht="15" thickBot="1">
      <c r="B24" s="6" t="s">
        <v>232</v>
      </c>
      <c r="D24" s="35"/>
      <c r="E24" s="34">
        <f>SUM(E6:E23)</f>
        <v>17672.28</v>
      </c>
    </row>
  </sheetData>
  <sheetCalcPr fullCalcOnLoad="1"/>
  <mergeCells count="1">
    <mergeCell ref="A1:I1"/>
  </mergeCells>
  <phoneticPr fontId="6" type="noConversion"/>
  <conditionalFormatting sqref="B19:B21 B23:B24 B6:B17">
    <cfRule type="expression" dxfId="14" priority="1" stopIfTrue="1">
      <formula>0</formula>
    </cfRule>
    <cfRule type="expression" dxfId="13" priority="2" stopIfTrue="1">
      <formula>0</formula>
    </cfRule>
  </conditionalFormatting>
  <pageMargins left="0.7" right="0.7" top="0.75" bottom="0.75" header="0.51180555555555551" footer="0.5118055555555555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2"/>
  <sheetViews>
    <sheetView topLeftCell="A5" zoomScale="125" zoomScaleSheetLayoutView="100" workbookViewId="0">
      <selection sqref="A1:I1"/>
    </sheetView>
  </sheetViews>
  <sheetFormatPr baseColWidth="10" defaultColWidth="7.42578125" defaultRowHeight="14"/>
  <cols>
    <col min="1" max="1" width="4.5703125" style="1" customWidth="1"/>
    <col min="2" max="2" width="18.28515625" style="1" customWidth="1"/>
    <col min="3" max="3" width="2" style="1" customWidth="1"/>
    <col min="4" max="4" width="10.7109375" style="1" customWidth="1"/>
    <col min="5" max="5" width="10.5703125" style="1" customWidth="1"/>
    <col min="6" max="6" width="3.42578125" style="1" customWidth="1"/>
    <col min="7" max="16384" width="7.42578125" style="1"/>
  </cols>
  <sheetData>
    <row r="1" spans="1:12" s="18" customFormat="1" ht="41" customHeight="1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17"/>
      <c r="K1" s="17"/>
      <c r="L1" s="17"/>
    </row>
    <row r="3" spans="1:12" ht="15">
      <c r="A3" s="15" t="s">
        <v>220</v>
      </c>
      <c r="B3" s="16"/>
      <c r="C3" s="16"/>
      <c r="D3" s="16"/>
      <c r="E3" s="16"/>
    </row>
    <row r="4" spans="1:12">
      <c r="A4" s="27" t="s">
        <v>144</v>
      </c>
      <c r="B4" s="16"/>
      <c r="C4" s="16"/>
      <c r="D4" s="16"/>
      <c r="E4" s="16"/>
    </row>
    <row r="5" spans="1:12">
      <c r="A5" s="31"/>
    </row>
    <row r="6" spans="1:12">
      <c r="A6" s="11" t="s">
        <v>222</v>
      </c>
      <c r="D6" s="2"/>
      <c r="E6" s="2"/>
    </row>
    <row r="7" spans="1:12">
      <c r="B7" s="6" t="s">
        <v>65</v>
      </c>
      <c r="D7" s="19">
        <v>250</v>
      </c>
      <c r="E7" s="19"/>
      <c r="G7" s="1" t="s">
        <v>66</v>
      </c>
    </row>
    <row r="8" spans="1:12">
      <c r="A8" s="6"/>
      <c r="B8" s="6" t="s">
        <v>181</v>
      </c>
      <c r="D8" s="19">
        <v>200</v>
      </c>
      <c r="E8" s="19"/>
      <c r="G8" s="6" t="s">
        <v>103</v>
      </c>
    </row>
    <row r="9" spans="1:12">
      <c r="B9" s="12" t="s">
        <v>180</v>
      </c>
      <c r="D9" s="19">
        <v>11000</v>
      </c>
      <c r="E9" s="19"/>
      <c r="G9" s="1" t="s">
        <v>67</v>
      </c>
      <c r="H9" s="6" t="s">
        <v>145</v>
      </c>
    </row>
    <row r="10" spans="1:12">
      <c r="B10" s="12" t="s">
        <v>102</v>
      </c>
      <c r="D10" s="19">
        <v>15000</v>
      </c>
      <c r="E10" s="19"/>
      <c r="G10" s="1" t="s">
        <v>68</v>
      </c>
    </row>
    <row r="11" spans="1:12">
      <c r="B11" s="6" t="s">
        <v>29</v>
      </c>
      <c r="D11" s="19">
        <v>100</v>
      </c>
      <c r="E11" s="19"/>
      <c r="G11" s="6" t="s">
        <v>104</v>
      </c>
    </row>
    <row r="12" spans="1:12">
      <c r="B12" s="6" t="s">
        <v>106</v>
      </c>
      <c r="D12" s="19">
        <v>1</v>
      </c>
      <c r="E12" s="19"/>
    </row>
    <row r="13" spans="1:12">
      <c r="B13" s="6" t="s">
        <v>85</v>
      </c>
      <c r="D13" s="19">
        <v>4000</v>
      </c>
      <c r="E13" s="19"/>
      <c r="G13" s="6" t="s">
        <v>142</v>
      </c>
    </row>
    <row r="14" spans="1:12">
      <c r="B14" s="6" t="s">
        <v>18</v>
      </c>
      <c r="D14" s="19">
        <v>500</v>
      </c>
      <c r="E14" s="19"/>
      <c r="G14" s="6" t="s">
        <v>138</v>
      </c>
    </row>
    <row r="15" spans="1:12">
      <c r="B15" s="6" t="s">
        <v>223</v>
      </c>
      <c r="D15" s="19">
        <v>200</v>
      </c>
      <c r="E15" s="19"/>
      <c r="G15" s="6" t="s">
        <v>101</v>
      </c>
    </row>
    <row r="16" spans="1:12">
      <c r="B16" s="6"/>
      <c r="D16" s="19"/>
      <c r="E16" s="20">
        <f>SUM(D7:D15)</f>
        <v>31251</v>
      </c>
    </row>
    <row r="17" spans="1:7">
      <c r="D17" s="19"/>
      <c r="E17" s="19"/>
    </row>
    <row r="18" spans="1:7">
      <c r="A18" s="11" t="s">
        <v>117</v>
      </c>
      <c r="D18" s="19"/>
      <c r="E18" s="19"/>
    </row>
    <row r="19" spans="1:7">
      <c r="A19" s="11"/>
      <c r="B19" s="6" t="s">
        <v>143</v>
      </c>
      <c r="D19" s="19">
        <v>-2000</v>
      </c>
      <c r="E19" s="19"/>
      <c r="G19" s="6" t="s">
        <v>14</v>
      </c>
    </row>
    <row r="20" spans="1:7">
      <c r="A20" s="11"/>
      <c r="B20" s="6" t="s">
        <v>181</v>
      </c>
      <c r="D20" s="19">
        <v>-100</v>
      </c>
      <c r="E20" s="19"/>
      <c r="G20" s="6" t="s">
        <v>103</v>
      </c>
    </row>
    <row r="21" spans="1:7">
      <c r="B21" s="6" t="s">
        <v>191</v>
      </c>
      <c r="D21" s="19">
        <v>-300</v>
      </c>
      <c r="E21" s="19"/>
      <c r="G21" s="1" t="s">
        <v>70</v>
      </c>
    </row>
    <row r="22" spans="1:7">
      <c r="B22" s="12" t="s">
        <v>180</v>
      </c>
      <c r="D22" s="19">
        <v>-6000</v>
      </c>
      <c r="E22" s="19"/>
      <c r="G22" s="1" t="s">
        <v>61</v>
      </c>
    </row>
    <row r="23" spans="1:7">
      <c r="B23" s="12" t="s">
        <v>102</v>
      </c>
      <c r="D23" s="19">
        <v>-3000</v>
      </c>
      <c r="E23" s="19"/>
      <c r="G23" s="1" t="s">
        <v>62</v>
      </c>
    </row>
    <row r="24" spans="1:7">
      <c r="B24" s="6" t="s">
        <v>29</v>
      </c>
      <c r="D24" s="19">
        <v>-3000</v>
      </c>
      <c r="E24" s="19"/>
      <c r="G24" s="6" t="s">
        <v>17</v>
      </c>
    </row>
    <row r="25" spans="1:7">
      <c r="B25" s="6" t="s">
        <v>46</v>
      </c>
      <c r="D25" s="19">
        <v>-100</v>
      </c>
      <c r="E25" s="19"/>
      <c r="G25" s="1" t="s">
        <v>108</v>
      </c>
    </row>
    <row r="26" spans="1:7">
      <c r="B26" s="6" t="s">
        <v>44</v>
      </c>
      <c r="D26" s="19">
        <v>-5000</v>
      </c>
      <c r="E26" s="19"/>
      <c r="G26" s="1" t="s">
        <v>109</v>
      </c>
    </row>
    <row r="27" spans="1:7">
      <c r="B27" s="6" t="s">
        <v>85</v>
      </c>
      <c r="D27" s="19">
        <v>-200</v>
      </c>
      <c r="E27" s="19"/>
      <c r="G27" s="1" t="s">
        <v>168</v>
      </c>
    </row>
    <row r="28" spans="1:7">
      <c r="B28" s="6" t="s">
        <v>202</v>
      </c>
      <c r="D28" s="19">
        <v>-1000</v>
      </c>
      <c r="E28" s="19"/>
      <c r="G28" s="6" t="s">
        <v>15</v>
      </c>
    </row>
    <row r="29" spans="1:7">
      <c r="B29" s="6" t="s">
        <v>169</v>
      </c>
      <c r="D29" s="19">
        <v>0</v>
      </c>
      <c r="E29" s="19"/>
    </row>
    <row r="30" spans="1:7">
      <c r="D30" s="19"/>
      <c r="E30" s="20">
        <f>SUM(D19:D29)</f>
        <v>-20700</v>
      </c>
    </row>
    <row r="31" spans="1:7">
      <c r="D31" s="19"/>
      <c r="E31" s="19"/>
    </row>
    <row r="32" spans="1:7" ht="15" thickBot="1">
      <c r="A32" s="11" t="s">
        <v>57</v>
      </c>
      <c r="D32" s="19"/>
      <c r="E32" s="21">
        <f>SUM(E16:E30)</f>
        <v>10551</v>
      </c>
    </row>
  </sheetData>
  <sheetCalcPr fullCalcOnLoad="1"/>
  <mergeCells count="1">
    <mergeCell ref="A1:I1"/>
  </mergeCells>
  <phoneticPr fontId="6" type="noConversion"/>
  <conditionalFormatting sqref="B7:B16 B21:B29">
    <cfRule type="expression" dxfId="12" priority="1" stopIfTrue="1">
      <formula>0</formula>
    </cfRule>
    <cfRule type="expression" dxfId="11" priority="2" stopIfTrue="1">
      <formula>0</formula>
    </cfRule>
  </conditionalFormatting>
  <pageMargins left="0.78749999999999998" right="0.78749999999999998" top="1.0527777777777778" bottom="1.0527777777777778" header="0.78749999999999998" footer="0.78749999999999998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21"/>
  <sheetViews>
    <sheetView workbookViewId="0">
      <selection sqref="A1:G1"/>
    </sheetView>
  </sheetViews>
  <sheetFormatPr baseColWidth="10" defaultColWidth="7.42578125" defaultRowHeight="14"/>
  <cols>
    <col min="1" max="1" width="7.42578125" style="1"/>
    <col min="2" max="3" width="7.7109375" style="2" customWidth="1"/>
    <col min="4" max="4" width="17.140625" style="1" customWidth="1"/>
    <col min="5" max="5" width="24.28515625" style="1" customWidth="1"/>
    <col min="6" max="6" width="7.42578125" style="1"/>
    <col min="7" max="7" width="10.140625" style="1" customWidth="1"/>
    <col min="8" max="16384" width="7.42578125" style="1"/>
  </cols>
  <sheetData>
    <row r="1" spans="1:7" ht="16.5" customHeight="1">
      <c r="A1" s="54" t="s">
        <v>216</v>
      </c>
      <c r="B1" s="54"/>
      <c r="C1" s="54"/>
      <c r="D1" s="54"/>
      <c r="E1" s="54"/>
      <c r="F1" s="54"/>
      <c r="G1" s="54"/>
    </row>
    <row r="2" spans="1:7">
      <c r="A2" s="3" t="s">
        <v>206</v>
      </c>
      <c r="B2" s="4" t="s">
        <v>207</v>
      </c>
      <c r="C2" s="4" t="s">
        <v>208</v>
      </c>
      <c r="D2" s="3" t="s">
        <v>217</v>
      </c>
      <c r="E2" s="3" t="s">
        <v>211</v>
      </c>
      <c r="F2" s="22" t="s">
        <v>27</v>
      </c>
      <c r="G2" s="23" t="s">
        <v>218</v>
      </c>
    </row>
    <row r="3" spans="1:7">
      <c r="A3" s="5"/>
      <c r="B3" s="24" t="s">
        <v>49</v>
      </c>
      <c r="C3" s="24">
        <v>120</v>
      </c>
      <c r="D3" s="1" t="s">
        <v>50</v>
      </c>
      <c r="E3" s="1" t="s">
        <v>219</v>
      </c>
      <c r="F3" s="1" t="s">
        <v>113</v>
      </c>
      <c r="G3" s="1" t="s">
        <v>83</v>
      </c>
    </row>
    <row r="4" spans="1:7">
      <c r="A4" s="5"/>
      <c r="B4" s="24" t="s">
        <v>49</v>
      </c>
      <c r="C4" s="24">
        <v>160</v>
      </c>
      <c r="D4" s="1" t="s">
        <v>30</v>
      </c>
      <c r="E4" s="1" t="s">
        <v>45</v>
      </c>
      <c r="F4" s="1" t="s">
        <v>113</v>
      </c>
      <c r="G4" s="1" t="s">
        <v>83</v>
      </c>
    </row>
    <row r="5" spans="1:7">
      <c r="A5" s="5"/>
      <c r="B5" s="24"/>
      <c r="C5" s="24">
        <f>50*150</f>
        <v>7500</v>
      </c>
      <c r="D5" s="1" t="s">
        <v>8</v>
      </c>
      <c r="E5" s="1" t="s">
        <v>224</v>
      </c>
      <c r="F5" s="1" t="s">
        <v>113</v>
      </c>
      <c r="G5" s="1" t="s">
        <v>83</v>
      </c>
    </row>
    <row r="6" spans="1:7">
      <c r="B6" s="24" t="s">
        <v>49</v>
      </c>
      <c r="C6" s="24">
        <v>2600</v>
      </c>
      <c r="D6" s="1" t="s">
        <v>225</v>
      </c>
      <c r="E6" s="1" t="s">
        <v>86</v>
      </c>
      <c r="F6" s="1" t="s">
        <v>113</v>
      </c>
      <c r="G6" s="1" t="s">
        <v>199</v>
      </c>
    </row>
    <row r="7" spans="1:7">
      <c r="B7" s="24"/>
      <c r="C7" s="24">
        <v>520</v>
      </c>
      <c r="D7" s="1" t="s">
        <v>50</v>
      </c>
      <c r="E7" s="1" t="s">
        <v>51</v>
      </c>
      <c r="F7" s="1" t="s">
        <v>113</v>
      </c>
      <c r="G7" s="1" t="s">
        <v>52</v>
      </c>
    </row>
    <row r="8" spans="1:7">
      <c r="B8" s="24"/>
      <c r="C8" s="24">
        <v>500</v>
      </c>
      <c r="D8" s="1" t="s">
        <v>50</v>
      </c>
      <c r="E8" s="1" t="s">
        <v>53</v>
      </c>
      <c r="F8" s="1" t="s">
        <v>54</v>
      </c>
      <c r="G8" s="1" t="s">
        <v>52</v>
      </c>
    </row>
    <row r="9" spans="1:7">
      <c r="B9" s="24"/>
      <c r="C9" s="24">
        <v>200</v>
      </c>
      <c r="D9" s="1" t="s">
        <v>50</v>
      </c>
      <c r="E9" s="1" t="s">
        <v>226</v>
      </c>
      <c r="F9" s="1" t="s">
        <v>113</v>
      </c>
      <c r="G9" s="1" t="s">
        <v>213</v>
      </c>
    </row>
    <row r="10" spans="1:7">
      <c r="B10" s="24"/>
      <c r="C10" s="24">
        <v>360</v>
      </c>
      <c r="D10" s="1" t="s">
        <v>50</v>
      </c>
      <c r="E10" s="6" t="s">
        <v>214</v>
      </c>
      <c r="F10" s="1" t="s">
        <v>215</v>
      </c>
      <c r="G10" s="1" t="s">
        <v>7</v>
      </c>
    </row>
    <row r="11" spans="1:7">
      <c r="B11" s="24"/>
      <c r="C11" s="24">
        <v>126</v>
      </c>
      <c r="D11" s="1" t="s">
        <v>50</v>
      </c>
      <c r="E11" s="6" t="s">
        <v>98</v>
      </c>
      <c r="F11" s="1" t="s">
        <v>215</v>
      </c>
      <c r="G11" s="1" t="s">
        <v>7</v>
      </c>
    </row>
    <row r="12" spans="1:7">
      <c r="B12" s="24"/>
      <c r="C12" s="24">
        <v>860</v>
      </c>
      <c r="D12" s="1" t="s">
        <v>50</v>
      </c>
      <c r="E12" s="6" t="s">
        <v>197</v>
      </c>
      <c r="F12" s="1" t="s">
        <v>215</v>
      </c>
      <c r="G12" s="1" t="s">
        <v>213</v>
      </c>
    </row>
    <row r="13" spans="1:7">
      <c r="B13" s="24"/>
      <c r="C13" s="24">
        <v>2667</v>
      </c>
      <c r="D13" s="1" t="s">
        <v>50</v>
      </c>
      <c r="E13" s="6" t="s">
        <v>124</v>
      </c>
      <c r="F13" s="1" t="s">
        <v>215</v>
      </c>
      <c r="G13" s="1" t="s">
        <v>213</v>
      </c>
    </row>
    <row r="14" spans="1:7">
      <c r="B14" s="24"/>
      <c r="C14" s="24">
        <v>1000</v>
      </c>
      <c r="D14" s="1" t="s">
        <v>50</v>
      </c>
      <c r="E14" s="6" t="s">
        <v>125</v>
      </c>
      <c r="F14" s="1" t="s">
        <v>113</v>
      </c>
      <c r="G14" s="1" t="s">
        <v>223</v>
      </c>
    </row>
    <row r="15" spans="1:7">
      <c r="A15" s="5"/>
      <c r="B15" s="24" t="s">
        <v>49</v>
      </c>
      <c r="C15" s="24"/>
      <c r="E15" s="1" t="s">
        <v>187</v>
      </c>
      <c r="F15" s="1" t="s">
        <v>69</v>
      </c>
      <c r="G15" s="1" t="s">
        <v>189</v>
      </c>
    </row>
    <row r="16" spans="1:7">
      <c r="A16" s="5"/>
      <c r="B16" s="24" t="s">
        <v>49</v>
      </c>
      <c r="C16" s="24" t="s">
        <v>49</v>
      </c>
      <c r="E16" s="1" t="s">
        <v>190</v>
      </c>
      <c r="F16" s="1" t="s">
        <v>69</v>
      </c>
      <c r="G16" s="1" t="s">
        <v>107</v>
      </c>
    </row>
    <row r="17" spans="1:7">
      <c r="A17" s="5"/>
      <c r="B17" s="24" t="s">
        <v>49</v>
      </c>
      <c r="C17" s="24" t="s">
        <v>49</v>
      </c>
      <c r="E17" s="1" t="s">
        <v>47</v>
      </c>
      <c r="F17" s="1" t="s">
        <v>26</v>
      </c>
      <c r="G17" s="1" t="s">
        <v>48</v>
      </c>
    </row>
    <row r="19" spans="1:7">
      <c r="B19" s="24"/>
      <c r="C19" s="24"/>
    </row>
    <row r="20" spans="1:7">
      <c r="B20" s="24"/>
      <c r="C20" s="24"/>
    </row>
    <row r="21" spans="1:7">
      <c r="B21" s="24"/>
      <c r="C21" s="24"/>
    </row>
  </sheetData>
  <sheetCalcPr fullCalcOnLoad="1"/>
  <mergeCells count="1">
    <mergeCell ref="A1:G1"/>
  </mergeCells>
  <phoneticPr fontId="6" type="noConversion"/>
  <pageMargins left="0.7" right="0.7" top="0.75" bottom="0.75" header="0.51180555555555551" footer="0.5118055555555555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8"/>
  <sheetViews>
    <sheetView workbookViewId="0">
      <selection activeCell="I4" sqref="I4"/>
    </sheetView>
  </sheetViews>
  <sheetFormatPr baseColWidth="10" defaultColWidth="10.7109375" defaultRowHeight="15"/>
  <cols>
    <col min="1" max="16384" width="10.7109375" style="44"/>
  </cols>
  <sheetData>
    <row r="1" spans="1:15">
      <c r="B1" s="44" t="s">
        <v>33</v>
      </c>
      <c r="C1" s="44" t="s">
        <v>34</v>
      </c>
      <c r="D1" s="44" t="s">
        <v>35</v>
      </c>
      <c r="E1" s="44" t="s">
        <v>134</v>
      </c>
      <c r="F1" s="44" t="s">
        <v>36</v>
      </c>
      <c r="G1" s="44" t="s">
        <v>37</v>
      </c>
      <c r="H1" s="44" t="s">
        <v>131</v>
      </c>
      <c r="I1" s="44" t="s">
        <v>132</v>
      </c>
      <c r="J1" s="44" t="s">
        <v>133</v>
      </c>
      <c r="K1" s="44" t="s">
        <v>135</v>
      </c>
      <c r="L1" s="44" t="s">
        <v>0</v>
      </c>
      <c r="M1" s="44" t="s">
        <v>1</v>
      </c>
      <c r="N1" s="44" t="s">
        <v>2</v>
      </c>
      <c r="O1" s="44" t="s">
        <v>3</v>
      </c>
    </row>
    <row r="2" spans="1:15">
      <c r="A2" s="44">
        <v>2007</v>
      </c>
      <c r="B2" s="45">
        <v>1115.3800000000001</v>
      </c>
      <c r="C2" s="44">
        <v>1124.6199999999999</v>
      </c>
      <c r="D2" s="44">
        <v>-9.24</v>
      </c>
      <c r="E2" s="44">
        <f>C2+D2</f>
        <v>1115.3799999999999</v>
      </c>
      <c r="F2" s="44">
        <v>400</v>
      </c>
      <c r="G2" s="44">
        <v>0</v>
      </c>
      <c r="H2" s="44">
        <v>0</v>
      </c>
      <c r="I2" s="44">
        <v>0</v>
      </c>
      <c r="J2" s="44">
        <v>0</v>
      </c>
      <c r="K2" s="44">
        <f t="shared" ref="K2:K8" si="0">(E2-F2-G2-H2-I2-J2)</f>
        <v>715.37999999999988</v>
      </c>
    </row>
    <row r="3" spans="1:15">
      <c r="A3" s="44">
        <v>2008</v>
      </c>
      <c r="B3" s="44">
        <v>1202.52</v>
      </c>
      <c r="C3" s="44">
        <v>174.59</v>
      </c>
      <c r="D3" s="44">
        <v>-87.45</v>
      </c>
      <c r="E3" s="44">
        <f>C3+D3</f>
        <v>87.14</v>
      </c>
      <c r="F3" s="44">
        <v>80</v>
      </c>
      <c r="G3" s="44">
        <v>0</v>
      </c>
      <c r="H3" s="44">
        <v>0</v>
      </c>
      <c r="I3" s="44">
        <v>0</v>
      </c>
      <c r="J3" s="44">
        <v>0</v>
      </c>
      <c r="K3" s="44">
        <f t="shared" si="0"/>
        <v>7.1400000000000006</v>
      </c>
    </row>
    <row r="4" spans="1:15">
      <c r="A4" s="44">
        <v>2009</v>
      </c>
      <c r="B4" s="44">
        <v>1228.32</v>
      </c>
      <c r="C4" s="44">
        <v>5442.02</v>
      </c>
      <c r="D4" s="44">
        <v>-5416.22</v>
      </c>
      <c r="E4" s="44">
        <f>C4+D4</f>
        <v>25.800000000000182</v>
      </c>
      <c r="F4" s="44">
        <v>1284</v>
      </c>
      <c r="G4" s="44">
        <v>1200</v>
      </c>
      <c r="H4" s="44">
        <v>0</v>
      </c>
      <c r="I4" s="44">
        <v>-2064.89</v>
      </c>
      <c r="J4" s="44">
        <v>0</v>
      </c>
      <c r="K4" s="44">
        <f>(E4-F4-G4-H4-I4-J4)</f>
        <v>-393.30999999999995</v>
      </c>
      <c r="L4" s="44">
        <v>1290</v>
      </c>
      <c r="M4" s="44">
        <v>90</v>
      </c>
    </row>
    <row r="5" spans="1:15">
      <c r="A5" s="44">
        <v>2010</v>
      </c>
      <c r="B5" s="44">
        <v>7661.73</v>
      </c>
      <c r="C5" s="44">
        <v>17819.900000000001</v>
      </c>
      <c r="D5" s="44">
        <v>-11386.49</v>
      </c>
      <c r="E5" s="44">
        <f>C5+D5</f>
        <v>6433.4100000000017</v>
      </c>
      <c r="F5" s="44">
        <v>4068</v>
      </c>
      <c r="G5" s="44">
        <v>6118.6</v>
      </c>
      <c r="H5" s="44">
        <v>1283.3399999999999</v>
      </c>
      <c r="I5" s="44">
        <v>-2381.54</v>
      </c>
      <c r="J5" s="44">
        <v>-2362.9</v>
      </c>
      <c r="K5" s="44">
        <f t="shared" si="0"/>
        <v>-292.08999999999878</v>
      </c>
      <c r="L5" s="44">
        <v>1704</v>
      </c>
      <c r="M5" s="44">
        <v>88</v>
      </c>
      <c r="N5" s="44">
        <v>670</v>
      </c>
      <c r="O5" s="44" t="s">
        <v>4</v>
      </c>
    </row>
    <row r="6" spans="1:15">
      <c r="A6" s="44">
        <v>2011</v>
      </c>
      <c r="B6" s="44">
        <v>20752.11</v>
      </c>
      <c r="C6" s="44">
        <v>27839.43</v>
      </c>
      <c r="D6" s="44">
        <v>-14749.05</v>
      </c>
      <c r="E6" s="44">
        <f>C6+D6</f>
        <v>13090.380000000001</v>
      </c>
      <c r="F6" s="44">
        <v>3565</v>
      </c>
      <c r="G6" s="44">
        <v>11990</v>
      </c>
      <c r="H6" s="44">
        <v>478.59</v>
      </c>
      <c r="I6" s="44">
        <v>-3055.32</v>
      </c>
      <c r="J6" s="44">
        <v>-1639.24</v>
      </c>
      <c r="K6" s="44">
        <f t="shared" si="0"/>
        <v>1751.350000000001</v>
      </c>
      <c r="L6" s="44">
        <v>2176</v>
      </c>
      <c r="M6" s="44">
        <v>147</v>
      </c>
      <c r="N6" s="44">
        <v>1406</v>
      </c>
      <c r="O6" s="44" t="s">
        <v>5</v>
      </c>
    </row>
    <row r="7" spans="1:15">
      <c r="A7" s="44">
        <v>2012</v>
      </c>
      <c r="K7" s="44">
        <f t="shared" si="0"/>
        <v>0</v>
      </c>
      <c r="L7" s="44">
        <v>3320</v>
      </c>
      <c r="M7" s="44">
        <v>290</v>
      </c>
      <c r="N7" s="47">
        <v>2094</v>
      </c>
      <c r="O7" s="47" t="s">
        <v>24</v>
      </c>
    </row>
    <row r="8" spans="1:15">
      <c r="A8" s="44">
        <v>2013</v>
      </c>
      <c r="K8" s="44">
        <f t="shared" si="0"/>
        <v>0</v>
      </c>
      <c r="L8" s="47">
        <v>4600</v>
      </c>
      <c r="M8" s="47">
        <v>450</v>
      </c>
    </row>
  </sheetData>
  <sheetCalcPr fullCalcOnLoad="1"/>
  <phoneticPr fontId="6" type="noConversion"/>
  <conditionalFormatting sqref="B5">
    <cfRule type="cellIs" dxfId="10" priority="1" stopIfTrue="1" operator="equal">
      <formula>$C$5-$D$5+$B$4</formula>
    </cfRule>
  </conditionalFormatting>
  <conditionalFormatting sqref="B2">
    <cfRule type="cellIs" dxfId="9" priority="2" stopIfTrue="1" operator="equal">
      <formula>$C$2-$D$2</formula>
    </cfRule>
  </conditionalFormatting>
  <conditionalFormatting sqref="B3">
    <cfRule type="cellIs" dxfId="8" priority="3" stopIfTrue="1" operator="equal">
      <formula>$C$3-$D$3+$B$2</formula>
    </cfRule>
  </conditionalFormatting>
  <conditionalFormatting sqref="B4">
    <cfRule type="cellIs" dxfId="7" priority="4" stopIfTrue="1" operator="equal">
      <formula>$C$4-$D$4+$B$3</formula>
    </cfRule>
  </conditionalFormatting>
  <conditionalFormatting sqref="B6:B8">
    <cfRule type="cellIs" dxfId="6" priority="5" stopIfTrue="1" operator="equal">
      <formula>$C$6-$D$6+$B$5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Notes</vt:lpstr>
      <vt:lpstr>Journal</vt:lpstr>
      <vt:lpstr>Balance Sheet</vt:lpstr>
      <vt:lpstr>Income Statement</vt:lpstr>
      <vt:lpstr>Cash Flow</vt:lpstr>
      <vt:lpstr>Budget 2012</vt:lpstr>
      <vt:lpstr>Off-book expenses</vt:lpstr>
      <vt:lpstr>Historical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Grant Kerr</cp:lastModifiedBy>
  <cp:lastPrinted>2011-12-29T20:00:32Z</cp:lastPrinted>
  <dcterms:created xsi:type="dcterms:W3CDTF">2011-01-04T21:30:20Z</dcterms:created>
  <dcterms:modified xsi:type="dcterms:W3CDTF">2012-05-09T01:37:46Z</dcterms:modified>
</cp:coreProperties>
</file>